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3_projecten\haagwonen zon\2 terugleverheffingen excel\"/>
    </mc:Choice>
  </mc:AlternateContent>
  <xr:revisionPtr revIDLastSave="0" documentId="13_ncr:1_{7684A7C0-6A5C-429C-9958-057E1FEB3C7F}" xr6:coauthVersionLast="47" xr6:coauthVersionMax="47" xr10:uidLastSave="{00000000-0000-0000-0000-000000000000}"/>
  <bookViews>
    <workbookView xWindow="15264" yWindow="0" windowWidth="15552" windowHeight="12336" xr2:uid="{83EC2A7B-5F4A-40DD-91F7-DDA2DEE50C39}"/>
  </bookViews>
  <sheets>
    <sheet name="rekenbl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A50" i="1" l="1"/>
  <c r="A49" i="1"/>
  <c r="A48" i="1"/>
  <c r="C47" i="1"/>
  <c r="B47" i="1"/>
  <c r="C11" i="1"/>
  <c r="B11" i="1"/>
  <c r="C30" i="1"/>
  <c r="B30" i="1"/>
  <c r="AH7" i="1"/>
  <c r="AH8" i="1"/>
  <c r="AH9" i="1"/>
  <c r="AH10" i="1"/>
  <c r="AH11" i="1"/>
  <c r="AH12" i="1"/>
  <c r="AH6" i="1"/>
  <c r="C23" i="1"/>
  <c r="C32" i="1" s="1"/>
  <c r="B23" i="1"/>
  <c r="B32" i="1" s="1"/>
  <c r="C18" i="1"/>
  <c r="C17" i="1"/>
  <c r="C8" i="1"/>
  <c r="C9" i="1" s="1"/>
  <c r="C16" i="1" s="1"/>
  <c r="B8" i="1"/>
  <c r="B9" i="1" s="1"/>
  <c r="B25" i="1" l="1"/>
  <c r="B39" i="1" s="1"/>
  <c r="C25" i="1"/>
  <c r="B43" i="1"/>
  <c r="B49" i="1" s="1"/>
  <c r="C43" i="1"/>
  <c r="C49" i="1" s="1"/>
  <c r="B15" i="1"/>
  <c r="C15" i="1"/>
  <c r="C21" i="1" s="1"/>
  <c r="B16" i="1"/>
  <c r="B26" i="1" l="1"/>
  <c r="B27" i="1" s="1"/>
  <c r="B33" i="1" s="1"/>
  <c r="B38" i="1"/>
  <c r="B40" i="1" s="1"/>
  <c r="B41" i="1"/>
  <c r="B21" i="1"/>
  <c r="B24" i="1" s="1"/>
  <c r="C26" i="1"/>
  <c r="C27" i="1" s="1"/>
  <c r="C33" i="1" s="1"/>
  <c r="C39" i="1"/>
  <c r="C24" i="1"/>
  <c r="B28" i="1" l="1"/>
  <c r="C38" i="1"/>
  <c r="C40" i="1" s="1"/>
  <c r="C41" i="1"/>
  <c r="B42" i="1"/>
  <c r="C28" i="1"/>
  <c r="C31" i="1"/>
  <c r="C34" i="1" s="1"/>
  <c r="B31" i="1"/>
  <c r="B34" i="1" s="1"/>
  <c r="B48" i="1" l="1"/>
  <c r="B44" i="1"/>
  <c r="B50" i="1" s="1"/>
  <c r="C42" i="1"/>
  <c r="C48" i="1" l="1"/>
  <c r="C44" i="1"/>
  <c r="C50" i="1" s="1"/>
</calcChain>
</file>

<file path=xl/sharedStrings.xml><?xml version="1.0" encoding="utf-8"?>
<sst xmlns="http://schemas.openxmlformats.org/spreadsheetml/2006/main" count="44" uniqueCount="42">
  <si>
    <t>panelen (aantal)</t>
  </si>
  <si>
    <t>vermogen (wattpiek per paneel)</t>
  </si>
  <si>
    <t>vermogen totaal (wattpiek installatie)</t>
  </si>
  <si>
    <t>jaaropbrengst (kWh per jaar)</t>
  </si>
  <si>
    <t>gunstig</t>
  </si>
  <si>
    <t>ongunstig</t>
  </si>
  <si>
    <t>bijdrage corporatie per paneel per maand</t>
  </si>
  <si>
    <t>bruto teruglevering kwh per jaar</t>
  </si>
  <si>
    <t>heffing vandebron welke bedrag</t>
  </si>
  <si>
    <t xml:space="preserve">voordeel </t>
  </si>
  <si>
    <t>vanaf .. kWh per jaar</t>
  </si>
  <si>
    <t>maandelijkse terugleverheffing</t>
  </si>
  <si>
    <t>jaarlijkse terugleverheffing</t>
  </si>
  <si>
    <t>A) inkomsten+vermeden kosten</t>
  </si>
  <si>
    <t>B) bijdrage corporatie per jaar</t>
  </si>
  <si>
    <t>voordeel voor huurder zonder terugleverheffing (A min B)</t>
  </si>
  <si>
    <t>voordeel na aftrek bijdrage corporatie en heffing vandebron (A min B min C)</t>
  </si>
  <si>
    <t>A. jaaropbrengst en vermeden kosten</t>
  </si>
  <si>
    <t>B. bijdrage corporatie</t>
  </si>
  <si>
    <t>C. kosten vandebron</t>
  </si>
  <si>
    <t>VANDEBRONHEFFING</t>
  </si>
  <si>
    <t>SITUATIE</t>
  </si>
  <si>
    <t>jaarverbruik huurder zonder panelen (kWh per jaar)</t>
  </si>
  <si>
    <t>bruto teruggeleverde stroom (% van de stroom die niet wordt gebruikt maar het net in gaat), ingeschat op basis van dit model: https://solar.htw-berlin.de/rechner/unabhaengigkeitsrechner/</t>
  </si>
  <si>
    <t>MET TERUGLEVERHEFFING</t>
  </si>
  <si>
    <t>direct verbruikte of gesaldeerde stroom (kWh per jaar)</t>
  </si>
  <si>
    <t>netto teruggeleverde stroom (kWh per jaar)</t>
  </si>
  <si>
    <t>opbrengst netto teruggeleverde stroom e/kwh</t>
  </si>
  <si>
    <t>samenvatting VANDEBRON</t>
  </si>
  <si>
    <t>NA AFLOOP SALDEREN</t>
  </si>
  <si>
    <t>direct verbruikte stroom (kWh per jaar)</t>
  </si>
  <si>
    <t>teruggeleverde stroom (kWhper jaar)</t>
  </si>
  <si>
    <t>opbrengsten</t>
  </si>
  <si>
    <t>bijdrage corporatie</t>
  </si>
  <si>
    <t>voordeel huurder</t>
  </si>
  <si>
    <t>vermeden kosten direct verbruikte stroom</t>
  </si>
  <si>
    <t>opbrengst teruggeleverde stroom</t>
  </si>
  <si>
    <t>opbrengst direct verbruikte/gesaldeerde stroom e/kwh, volgens https://www.gaslicht.com/energievergelijken/resultaten mei 2024</t>
  </si>
  <si>
    <t>heffing vandebron welke staffel (zie gele gebied)</t>
  </si>
  <si>
    <t>Terugleververgoedingen en einde saldering - houdt de huurder nog wel voordeel?</t>
  </si>
  <si>
    <t>Toelichting/analyse/onderbouwing op https://www.zonnighuren.nl/terugleververgoedingen/</t>
  </si>
  <si>
    <t>berekening Maarten Corpeleijn d.d. 28-5-2024. Geen rechten aan te ontlenen. Feedback? Vragen? maarten@huurenergie.nl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</si>
</sst>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top" wrapText="1"/>
    </xf>
    <xf numFmtId="43" fontId="0" fillId="0" borderId="0" xfId="0" applyNumberFormat="1" applyAlignment="1">
      <alignment vertical="top" wrapText="1"/>
    </xf>
    <xf numFmtId="0" fontId="2" fillId="0" borderId="0" xfId="0" applyFont="1" applyAlignment="1">
      <alignment vertical="top" wrapText="1"/>
    </xf>
    <xf numFmtId="0" fontId="0" fillId="2" borderId="0" xfId="0" applyFill="1" applyAlignment="1">
      <alignment vertical="top" wrapText="1"/>
    </xf>
    <xf numFmtId="0" fontId="3" fillId="0" borderId="0" xfId="0" applyFont="1" applyAlignment="1">
      <alignment vertical="top" wrapText="1"/>
    </xf>
    <xf numFmtId="9" fontId="0" fillId="0" borderId="0" xfId="0" applyNumberFormat="1" applyAlignment="1">
      <alignment vertical="top" wrapText="1"/>
    </xf>
    <xf numFmtId="164" fontId="0" fillId="0" borderId="0" xfId="1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4" fillId="0" borderId="0" xfId="1" applyNumberFormat="1" applyFont="1" applyAlignment="1">
      <alignment vertical="top" wrapText="1"/>
    </xf>
    <xf numFmtId="164" fontId="0" fillId="0" borderId="0" xfId="0" applyNumberFormat="1" applyAlignment="1">
      <alignment vertical="top" wrapText="1"/>
    </xf>
    <xf numFmtId="17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 wrapText="1"/>
    </xf>
    <xf numFmtId="1" fontId="0" fillId="0" borderId="0" xfId="0" applyNumberFormat="1" applyAlignment="1">
      <alignment vertical="top" wrapText="1"/>
    </xf>
    <xf numFmtId="164" fontId="2" fillId="0" borderId="0" xfId="1" applyNumberFormat="1" applyFont="1" applyAlignment="1">
      <alignment vertical="top" wrapText="1"/>
    </xf>
    <xf numFmtId="0" fontId="0" fillId="0" borderId="0" xfId="0" applyFill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2" fontId="0" fillId="0" borderId="0" xfId="0" applyNumberFormat="1" applyFill="1" applyAlignment="1">
      <alignment vertical="top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Zonnepanelen met terugleverheffing voordelig voor huurders? www.zonnighuren.nl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rekenblad!$A$31</c:f>
              <c:strCache>
                <c:ptCount val="1"/>
                <c:pt idx="0">
                  <c:v>A. jaaropbrengst en vermeden kosten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rekenblad!$B$30:$C$30</c:f>
              <c:strCache>
                <c:ptCount val="2"/>
                <c:pt idx="0">
                  <c:v>gunstig</c:v>
                </c:pt>
                <c:pt idx="1">
                  <c:v>ongunstig</c:v>
                </c:pt>
              </c:strCache>
            </c:strRef>
          </c:cat>
          <c:val>
            <c:numRef>
              <c:f>rekenblad!$B$31:$C$31</c:f>
              <c:numCache>
                <c:formatCode>_ * #,##0_ ;_ * \-#,##0_ ;_ * "-"??_ ;_ @_ </c:formatCode>
                <c:ptCount val="2"/>
                <c:pt idx="0">
                  <c:v>630</c:v>
                </c:pt>
                <c:pt idx="1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E-443A-951E-C3E40A54EED6}"/>
            </c:ext>
          </c:extLst>
        </c:ser>
        <c:ser>
          <c:idx val="1"/>
          <c:order val="1"/>
          <c:tx>
            <c:strRef>
              <c:f>rekenblad!$A$32</c:f>
              <c:strCache>
                <c:ptCount val="1"/>
                <c:pt idx="0">
                  <c:v>B. bijdrage corporatie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rekenblad!$B$30:$C$30</c:f>
              <c:strCache>
                <c:ptCount val="2"/>
                <c:pt idx="0">
                  <c:v>gunstig</c:v>
                </c:pt>
                <c:pt idx="1">
                  <c:v>ongunstig</c:v>
                </c:pt>
              </c:strCache>
            </c:strRef>
          </c:cat>
          <c:val>
            <c:numRef>
              <c:f>rekenblad!$B$32:$C$32</c:f>
              <c:numCache>
                <c:formatCode>General</c:formatCode>
                <c:ptCount val="2"/>
                <c:pt idx="0">
                  <c:v>-252</c:v>
                </c:pt>
                <c:pt idx="1">
                  <c:v>-378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E-443A-951E-C3E40A54EED6}"/>
            </c:ext>
          </c:extLst>
        </c:ser>
        <c:ser>
          <c:idx val="2"/>
          <c:order val="2"/>
          <c:tx>
            <c:strRef>
              <c:f>rekenblad!$A$33</c:f>
              <c:strCache>
                <c:ptCount val="1"/>
                <c:pt idx="0">
                  <c:v>C. kosten vandebron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rekenblad!$B$30:$C$30</c:f>
              <c:strCache>
                <c:ptCount val="2"/>
                <c:pt idx="0">
                  <c:v>gunstig</c:v>
                </c:pt>
                <c:pt idx="1">
                  <c:v>ongunstig</c:v>
                </c:pt>
              </c:strCache>
            </c:strRef>
          </c:cat>
          <c:val>
            <c:numRef>
              <c:f>rekenblad!$B$33:$C$33</c:f>
              <c:numCache>
                <c:formatCode>General</c:formatCode>
                <c:ptCount val="2"/>
                <c:pt idx="0">
                  <c:v>-150</c:v>
                </c:pt>
                <c:pt idx="1">
                  <c:v>-252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4E-443A-951E-C3E40A54EED6}"/>
            </c:ext>
          </c:extLst>
        </c:ser>
        <c:ser>
          <c:idx val="3"/>
          <c:order val="3"/>
          <c:tx>
            <c:strRef>
              <c:f>rekenblad!$A$34</c:f>
              <c:strCache>
                <c:ptCount val="1"/>
                <c:pt idx="0">
                  <c:v>voordeel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rekenblad!$B$30:$C$30</c:f>
              <c:strCache>
                <c:ptCount val="2"/>
                <c:pt idx="0">
                  <c:v>gunstig</c:v>
                </c:pt>
                <c:pt idx="1">
                  <c:v>ongunstig</c:v>
                </c:pt>
              </c:strCache>
            </c:strRef>
          </c:cat>
          <c:val>
            <c:numRef>
              <c:f>rekenblad!$B$34:$C$34</c:f>
              <c:numCache>
                <c:formatCode>_ * #,##0_ ;_ * \-#,##0_ ;_ * "-"??_ ;_ @_ </c:formatCode>
                <c:ptCount val="2"/>
                <c:pt idx="0">
                  <c:v>228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4E-443A-951E-C3E40A54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713824"/>
        <c:axId val="1703866560"/>
      </c:barChart>
      <c:catAx>
        <c:axId val="17557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03866560"/>
        <c:crosses val="autoZero"/>
        <c:auto val="1"/>
        <c:lblAlgn val="ctr"/>
        <c:lblOffset val="100"/>
        <c:noMultiLvlLbl val="0"/>
      </c:catAx>
      <c:valAx>
        <c:axId val="17038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5571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Zonnepanelen na stopzetten saldering (en stoppen terugleverheffingen) voordelig voor huurders? www.zonnighuren.nl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rekenblad!$A$48</c:f>
              <c:strCache>
                <c:ptCount val="1"/>
                <c:pt idx="0">
                  <c:v>opbrengsten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rekenblad!$B$47:$C$47</c:f>
              <c:strCache>
                <c:ptCount val="2"/>
                <c:pt idx="0">
                  <c:v>gunstig</c:v>
                </c:pt>
                <c:pt idx="1">
                  <c:v>ongunstig</c:v>
                </c:pt>
              </c:strCache>
            </c:strRef>
          </c:cat>
          <c:val>
            <c:numRef>
              <c:f>rekenblad!$B$48:$C$48</c:f>
              <c:numCache>
                <c:formatCode>_ * #,##0_ ;_ * \-#,##0_ ;_ * "-"??_ ;_ @_ </c:formatCode>
                <c:ptCount val="2"/>
                <c:pt idx="0">
                  <c:v>357</c:v>
                </c:pt>
                <c:pt idx="1">
                  <c:v>447.3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5-45FE-9796-D340BB43AF84}"/>
            </c:ext>
          </c:extLst>
        </c:ser>
        <c:ser>
          <c:idx val="1"/>
          <c:order val="1"/>
          <c:tx>
            <c:strRef>
              <c:f>rekenblad!$A$49</c:f>
              <c:strCache>
                <c:ptCount val="1"/>
                <c:pt idx="0">
                  <c:v>bijdrage corporatie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rekenblad!$B$47:$C$47</c:f>
              <c:strCache>
                <c:ptCount val="2"/>
                <c:pt idx="0">
                  <c:v>gunstig</c:v>
                </c:pt>
                <c:pt idx="1">
                  <c:v>ongunstig</c:v>
                </c:pt>
              </c:strCache>
            </c:strRef>
          </c:cat>
          <c:val>
            <c:numRef>
              <c:f>rekenblad!$B$49:$C$49</c:f>
              <c:numCache>
                <c:formatCode>_ * #,##0_ ;_ * \-#,##0_ ;_ * "-"??_ ;_ @_ </c:formatCode>
                <c:ptCount val="2"/>
                <c:pt idx="0">
                  <c:v>-252</c:v>
                </c:pt>
                <c:pt idx="1">
                  <c:v>-378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5-45FE-9796-D340BB43AF84}"/>
            </c:ext>
          </c:extLst>
        </c:ser>
        <c:ser>
          <c:idx val="2"/>
          <c:order val="2"/>
          <c:tx>
            <c:strRef>
              <c:f>rekenblad!$A$50</c:f>
              <c:strCache>
                <c:ptCount val="1"/>
                <c:pt idx="0">
                  <c:v>voordeel huurder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rekenblad!$B$47:$C$47</c:f>
              <c:strCache>
                <c:ptCount val="2"/>
                <c:pt idx="0">
                  <c:v>gunstig</c:v>
                </c:pt>
                <c:pt idx="1">
                  <c:v>ongunstig</c:v>
                </c:pt>
              </c:strCache>
            </c:strRef>
          </c:cat>
          <c:val>
            <c:numRef>
              <c:f>rekenblad!$B$50:$C$50</c:f>
              <c:numCache>
                <c:formatCode>_ * #,##0_ ;_ * \-#,##0_ ;_ * "-"??_ ;_ @_ </c:formatCode>
                <c:ptCount val="2"/>
                <c:pt idx="0">
                  <c:v>105</c:v>
                </c:pt>
                <c:pt idx="1">
                  <c:v>69.300000000000011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35-45FE-9796-D340BB43A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713824"/>
        <c:axId val="1703866560"/>
      </c:barChart>
      <c:catAx>
        <c:axId val="17557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03866560"/>
        <c:crosses val="autoZero"/>
        <c:auto val="1"/>
        <c:lblAlgn val="ctr"/>
        <c:lblOffset val="100"/>
        <c:noMultiLvlLbl val="0"/>
      </c:catAx>
      <c:valAx>
        <c:axId val="17038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5571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880286</xdr:colOff>
      <xdr:row>3</xdr:row>
      <xdr:rowOff>12756</xdr:rowOff>
    </xdr:from>
    <xdr:to>
      <xdr:col>23</xdr:col>
      <xdr:colOff>146170</xdr:colOff>
      <xdr:row>22</xdr:row>
      <xdr:rowOff>213812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E061F6C-CD7C-4589-6F3D-196DB99FB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707572</xdr:colOff>
      <xdr:row>26</xdr:row>
      <xdr:rowOff>97970</xdr:rowOff>
    </xdr:from>
    <xdr:to>
      <xdr:col>21</xdr:col>
      <xdr:colOff>435429</xdr:colOff>
      <xdr:row>50</xdr:row>
      <xdr:rowOff>174171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51A17AA2-DAE1-4932-A981-E9BB78C99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2B391-6686-408D-B8EF-575D2387A6AD}">
  <dimension ref="A1:AH55"/>
  <sheetViews>
    <sheetView tabSelected="1" zoomScale="70" zoomScaleNormal="70" workbookViewId="0">
      <selection activeCell="Q3" sqref="Q3"/>
    </sheetView>
  </sheetViews>
  <sheetFormatPr defaultRowHeight="14.4" x14ac:dyDescent="0.3"/>
  <cols>
    <col min="1" max="1" width="56.77734375" style="1" customWidth="1"/>
    <col min="3" max="3" width="15.77734375" customWidth="1"/>
    <col min="4" max="5" width="0" hidden="1" customWidth="1"/>
    <col min="6" max="6" width="11.88671875" hidden="1" customWidth="1"/>
    <col min="7" max="7" width="18.88671875" hidden="1" customWidth="1"/>
    <col min="8" max="8" width="20.5546875" hidden="1" customWidth="1"/>
    <col min="9" max="9" width="14.109375" hidden="1" customWidth="1"/>
    <col min="10" max="10" width="20.77734375" customWidth="1"/>
  </cols>
  <sheetData>
    <row r="1" spans="1:34" ht="28.8" x14ac:dyDescent="0.3">
      <c r="A1" s="8" t="s">
        <v>39</v>
      </c>
    </row>
    <row r="2" spans="1:34" ht="21" x14ac:dyDescent="0.3">
      <c r="A2" s="9" t="s">
        <v>40</v>
      </c>
      <c r="Q2">
        <f>6000/208</f>
        <v>28.846153846153847</v>
      </c>
    </row>
    <row r="3" spans="1:34" ht="43.2" x14ac:dyDescent="0.3">
      <c r="A3" s="9" t="s">
        <v>41</v>
      </c>
      <c r="AE3" s="4" t="s">
        <v>20</v>
      </c>
      <c r="AF3" s="4"/>
      <c r="AG3" s="4"/>
      <c r="AH3" s="4"/>
    </row>
    <row r="4" spans="1:34" s="1" customFormat="1" ht="30" customHeight="1" x14ac:dyDescent="0.3">
      <c r="B4" s="1" t="s">
        <v>4</v>
      </c>
      <c r="C4" s="1" t="s">
        <v>5</v>
      </c>
      <c r="F4" s="2"/>
      <c r="AE4" s="4"/>
      <c r="AF4" s="4"/>
      <c r="AG4" s="4"/>
      <c r="AH4" s="4"/>
    </row>
    <row r="5" spans="1:34" s="1" customFormat="1" ht="30" customHeight="1" x14ac:dyDescent="0.3">
      <c r="A5" s="5" t="s">
        <v>21</v>
      </c>
      <c r="F5" s="2"/>
      <c r="AE5" s="4"/>
      <c r="AF5" s="4" t="s">
        <v>10</v>
      </c>
      <c r="AG5" s="4" t="s">
        <v>11</v>
      </c>
      <c r="AH5" s="4" t="s">
        <v>12</v>
      </c>
    </row>
    <row r="6" spans="1:34" s="1" customFormat="1" ht="13.8" customHeight="1" x14ac:dyDescent="0.3">
      <c r="A6" s="1" t="s">
        <v>0</v>
      </c>
      <c r="B6" s="1">
        <v>6</v>
      </c>
      <c r="C6" s="1">
        <v>9</v>
      </c>
      <c r="AE6" s="4">
        <v>0</v>
      </c>
      <c r="AF6" s="4">
        <v>0</v>
      </c>
      <c r="AG6" s="4">
        <v>0</v>
      </c>
      <c r="AH6" s="4">
        <f>AG6*12</f>
        <v>0</v>
      </c>
    </row>
    <row r="7" spans="1:34" s="1" customFormat="1" x14ac:dyDescent="0.3">
      <c r="A7" s="1" t="s">
        <v>1</v>
      </c>
      <c r="B7" s="1">
        <v>400</v>
      </c>
      <c r="C7" s="1">
        <v>400</v>
      </c>
      <c r="AE7" s="4">
        <v>1</v>
      </c>
      <c r="AF7" s="4">
        <v>5</v>
      </c>
      <c r="AG7" s="4">
        <v>4</v>
      </c>
      <c r="AH7" s="4">
        <f t="shared" ref="AH7:AH10" si="0">AG7*12</f>
        <v>48</v>
      </c>
    </row>
    <row r="8" spans="1:34" s="1" customFormat="1" x14ac:dyDescent="0.3">
      <c r="A8" s="1" t="s">
        <v>2</v>
      </c>
      <c r="B8" s="7">
        <f>B6*B7</f>
        <v>2400</v>
      </c>
      <c r="C8" s="7">
        <f>C6*C7</f>
        <v>3600</v>
      </c>
      <c r="AE8" s="4">
        <v>2</v>
      </c>
      <c r="AF8" s="4">
        <v>1000</v>
      </c>
      <c r="AG8" s="4">
        <v>12.5</v>
      </c>
      <c r="AH8" s="4">
        <f t="shared" si="0"/>
        <v>150</v>
      </c>
    </row>
    <row r="9" spans="1:34" s="1" customFormat="1" x14ac:dyDescent="0.3">
      <c r="A9" s="1" t="s">
        <v>3</v>
      </c>
      <c r="B9" s="7">
        <f>B8*0.875</f>
        <v>2100</v>
      </c>
      <c r="C9" s="7">
        <f>C8*0.875</f>
        <v>3150</v>
      </c>
      <c r="I9" s="7"/>
      <c r="AE9" s="4">
        <v>3</v>
      </c>
      <c r="AF9" s="4">
        <v>2000</v>
      </c>
      <c r="AG9" s="4">
        <v>21</v>
      </c>
      <c r="AH9" s="4">
        <f t="shared" si="0"/>
        <v>252</v>
      </c>
    </row>
    <row r="10" spans="1:34" s="1" customFormat="1" x14ac:dyDescent="0.3">
      <c r="A10" s="1" t="s">
        <v>22</v>
      </c>
      <c r="B10" s="7">
        <v>3000</v>
      </c>
      <c r="C10" s="10">
        <v>2300</v>
      </c>
      <c r="I10" s="7"/>
      <c r="AE10" s="4">
        <v>4</v>
      </c>
      <c r="AF10" s="4">
        <v>3000</v>
      </c>
      <c r="AG10" s="4">
        <v>29</v>
      </c>
      <c r="AH10" s="4">
        <f t="shared" si="0"/>
        <v>348</v>
      </c>
    </row>
    <row r="11" spans="1:34" s="1" customFormat="1" ht="43.2" x14ac:dyDescent="0.3">
      <c r="A11" s="1" t="s">
        <v>23</v>
      </c>
      <c r="B11" s="6">
        <f>1-35%</f>
        <v>0.65</v>
      </c>
      <c r="C11" s="6">
        <f>1-21%</f>
        <v>0.79</v>
      </c>
      <c r="I11" s="7"/>
      <c r="AE11" s="4">
        <v>5</v>
      </c>
      <c r="AF11" s="4">
        <v>4000</v>
      </c>
      <c r="AG11" s="4">
        <v>37.5</v>
      </c>
      <c r="AH11" s="4">
        <f>AG11*12</f>
        <v>450</v>
      </c>
    </row>
    <row r="12" spans="1:34" s="1" customFormat="1" x14ac:dyDescent="0.3">
      <c r="I12" s="7"/>
      <c r="AE12" s="4">
        <v>6</v>
      </c>
      <c r="AF12" s="4">
        <v>5000</v>
      </c>
      <c r="AG12" s="4">
        <v>46</v>
      </c>
      <c r="AH12" s="4">
        <f>AG12*12</f>
        <v>552</v>
      </c>
    </row>
    <row r="13" spans="1:34" s="1" customFormat="1" x14ac:dyDescent="0.3">
      <c r="B13" s="6"/>
      <c r="C13" s="6"/>
      <c r="I13" s="7"/>
      <c r="AE13" s="4"/>
      <c r="AF13" s="4"/>
      <c r="AG13" s="4"/>
      <c r="AH13" s="4"/>
    </row>
    <row r="14" spans="1:34" s="1" customFormat="1" x14ac:dyDescent="0.3">
      <c r="A14" s="5" t="s">
        <v>24</v>
      </c>
      <c r="B14" s="6"/>
      <c r="C14" s="6"/>
      <c r="I14" s="7"/>
      <c r="AE14" s="4"/>
      <c r="AF14" s="4"/>
      <c r="AG14" s="4"/>
      <c r="AH14" s="4"/>
    </row>
    <row r="15" spans="1:34" s="1" customFormat="1" x14ac:dyDescent="0.3">
      <c r="A15" s="1" t="s">
        <v>25</v>
      </c>
      <c r="B15" s="7">
        <f>IF(B9&lt;B10,B9,B10)</f>
        <v>2100</v>
      </c>
      <c r="C15" s="7">
        <f>IF(C9&lt;C10,C9,C10)</f>
        <v>2300</v>
      </c>
      <c r="I15" s="7"/>
    </row>
    <row r="16" spans="1:34" s="1" customFormat="1" x14ac:dyDescent="0.3">
      <c r="A16" s="1" t="s">
        <v>26</v>
      </c>
      <c r="B16" s="11">
        <f>MAX(B9-B10,0)</f>
        <v>0</v>
      </c>
      <c r="C16" s="11">
        <f>MAX(C9-C10,0)</f>
        <v>850</v>
      </c>
      <c r="I16" s="7"/>
    </row>
    <row r="17" spans="1:14" s="1" customFormat="1" ht="45.6" customHeight="1" x14ac:dyDescent="0.3">
      <c r="A17" s="1" t="s">
        <v>37</v>
      </c>
      <c r="B17" s="18">
        <v>0.3</v>
      </c>
      <c r="C17" s="18">
        <f>B17</f>
        <v>0.3</v>
      </c>
      <c r="I17" s="7"/>
      <c r="N17" s="12">
        <v>45413</v>
      </c>
    </row>
    <row r="18" spans="1:14" s="1" customFormat="1" x14ac:dyDescent="0.3">
      <c r="A18" s="1" t="s">
        <v>27</v>
      </c>
      <c r="B18" s="13">
        <v>0.1</v>
      </c>
      <c r="C18" s="13">
        <f>B18</f>
        <v>0.1</v>
      </c>
      <c r="I18" s="7"/>
    </row>
    <row r="19" spans="1:14" s="1" customFormat="1" x14ac:dyDescent="0.3">
      <c r="B19" s="7"/>
      <c r="C19" s="7"/>
    </row>
    <row r="20" spans="1:14" s="1" customFormat="1" x14ac:dyDescent="0.3">
      <c r="C20" s="14"/>
    </row>
    <row r="21" spans="1:14" s="1" customFormat="1" x14ac:dyDescent="0.3">
      <c r="A21" s="3" t="s">
        <v>13</v>
      </c>
      <c r="B21" s="15">
        <f>B15*B17+B16*B18</f>
        <v>630</v>
      </c>
      <c r="C21" s="15">
        <f>C15*C17+C16*C18</f>
        <v>775</v>
      </c>
    </row>
    <row r="22" spans="1:14" s="1" customFormat="1" x14ac:dyDescent="0.3">
      <c r="A22" s="1" t="s">
        <v>6</v>
      </c>
      <c r="B22" s="16">
        <v>3.5</v>
      </c>
      <c r="C22" s="16">
        <v>3.5</v>
      </c>
    </row>
    <row r="23" spans="1:14" s="1" customFormat="1" ht="18" customHeight="1" x14ac:dyDescent="0.3">
      <c r="A23" s="3" t="s">
        <v>14</v>
      </c>
      <c r="B23" s="3">
        <f>B22*B6*12</f>
        <v>252</v>
      </c>
      <c r="C23" s="3">
        <f>C22*C6*12</f>
        <v>378</v>
      </c>
    </row>
    <row r="24" spans="1:14" s="1" customFormat="1" x14ac:dyDescent="0.3">
      <c r="A24" s="3" t="s">
        <v>15</v>
      </c>
      <c r="B24" s="17">
        <f>B21-B23</f>
        <v>378</v>
      </c>
      <c r="C24" s="17">
        <f>C21-C23</f>
        <v>397</v>
      </c>
    </row>
    <row r="25" spans="1:14" s="1" customFormat="1" x14ac:dyDescent="0.3">
      <c r="A25" s="1" t="s">
        <v>7</v>
      </c>
      <c r="B25" s="11">
        <f>B11*B9</f>
        <v>1365</v>
      </c>
      <c r="C25" s="11">
        <f>C11*C9</f>
        <v>2488.5</v>
      </c>
    </row>
    <row r="26" spans="1:14" s="1" customFormat="1" x14ac:dyDescent="0.3">
      <c r="A26" s="1" t="s">
        <v>38</v>
      </c>
      <c r="B26" s="11">
        <f>IF(B25&lt;$AF$7,$AE$6,IF(B25&lt;$AF$8,$AE$7,IF(B25&lt;$AF$9,$AE$8,IF(B25&lt;$AF$10,$AE$9,IF(B25&lt;$AF$11,$AE$10,IF(B25&lt;$AF$12,$AE$11,$AE$12))))))</f>
        <v>2</v>
      </c>
      <c r="C26" s="11">
        <f>IF(C25&lt;$AF$7,$AE$6,IF(C25&lt;$AF$8,$AE$7,IF(C25&lt;$AF$9,$AE$8,IF(C25&lt;$AF$10,$AE$9,IF(C25&lt;$AF$11,$AE$10,IF(C25&lt;$AF$12,$AE$11,$AE$12))))))</f>
        <v>3</v>
      </c>
    </row>
    <row r="27" spans="1:14" s="1" customFormat="1" x14ac:dyDescent="0.3">
      <c r="A27" s="3" t="s">
        <v>8</v>
      </c>
      <c r="B27" s="3">
        <f>VLOOKUP(B26,$AE$5:$AH$12,4,FALSE)</f>
        <v>150</v>
      </c>
      <c r="C27" s="3">
        <f>VLOOKUP(C26,$AE$5:$AH$12,4,FALSE)</f>
        <v>252</v>
      </c>
    </row>
    <row r="28" spans="1:14" s="1" customFormat="1" ht="28.8" x14ac:dyDescent="0.3">
      <c r="A28" s="3" t="s">
        <v>16</v>
      </c>
      <c r="B28" s="17">
        <f>B24-B27</f>
        <v>228</v>
      </c>
      <c r="C28" s="17">
        <f>C24-C27</f>
        <v>145</v>
      </c>
    </row>
    <row r="29" spans="1:14" s="1" customFormat="1" x14ac:dyDescent="0.3"/>
    <row r="30" spans="1:14" s="1" customFormat="1" x14ac:dyDescent="0.3">
      <c r="A30" s="1" t="s">
        <v>28</v>
      </c>
      <c r="B30" s="1" t="str">
        <f>B4</f>
        <v>gunstig</v>
      </c>
      <c r="C30" s="1" t="str">
        <f>C4</f>
        <v>ongunstig</v>
      </c>
    </row>
    <row r="31" spans="1:14" s="1" customFormat="1" x14ac:dyDescent="0.3">
      <c r="A31" s="1" t="s">
        <v>17</v>
      </c>
      <c r="B31" s="11">
        <f>B21</f>
        <v>630</v>
      </c>
      <c r="C31" s="11">
        <f>C21</f>
        <v>775</v>
      </c>
    </row>
    <row r="32" spans="1:14" s="1" customFormat="1" x14ac:dyDescent="0.3">
      <c r="A32" s="1" t="s">
        <v>18</v>
      </c>
      <c r="B32" s="1">
        <f>-B23</f>
        <v>-252</v>
      </c>
      <c r="C32" s="1">
        <f>-C23</f>
        <v>-378</v>
      </c>
    </row>
    <row r="33" spans="1:3" s="1" customFormat="1" x14ac:dyDescent="0.3">
      <c r="A33" s="1" t="s">
        <v>19</v>
      </c>
      <c r="B33" s="1">
        <f>-B27</f>
        <v>-150</v>
      </c>
      <c r="C33" s="1">
        <f>-C27</f>
        <v>-252</v>
      </c>
    </row>
    <row r="34" spans="1:3" s="1" customFormat="1" x14ac:dyDescent="0.3">
      <c r="A34" s="1" t="s">
        <v>9</v>
      </c>
      <c r="B34" s="11">
        <f>SUM(B31:B33)</f>
        <v>228</v>
      </c>
      <c r="C34" s="11">
        <f>SUM(C31:C33)</f>
        <v>145</v>
      </c>
    </row>
    <row r="35" spans="1:3" s="1" customFormat="1" x14ac:dyDescent="0.3"/>
    <row r="36" spans="1:3" s="1" customFormat="1" x14ac:dyDescent="0.3"/>
    <row r="37" spans="1:3" s="1" customFormat="1" x14ac:dyDescent="0.3">
      <c r="A37" s="5" t="s">
        <v>29</v>
      </c>
      <c r="B37" s="1" t="s">
        <v>4</v>
      </c>
      <c r="C37" s="1" t="s">
        <v>5</v>
      </c>
    </row>
    <row r="38" spans="1:3" s="1" customFormat="1" x14ac:dyDescent="0.3">
      <c r="A38" s="1" t="s">
        <v>30</v>
      </c>
      <c r="B38" s="11">
        <f>B9-B39</f>
        <v>735</v>
      </c>
      <c r="C38" s="11">
        <f>C9-C39</f>
        <v>661.5</v>
      </c>
    </row>
    <row r="39" spans="1:3" s="1" customFormat="1" x14ac:dyDescent="0.3">
      <c r="A39" s="1" t="s">
        <v>31</v>
      </c>
      <c r="B39" s="11">
        <f>B25</f>
        <v>1365</v>
      </c>
      <c r="C39" s="11">
        <f>C25</f>
        <v>2488.5</v>
      </c>
    </row>
    <row r="40" spans="1:3" s="1" customFormat="1" x14ac:dyDescent="0.3">
      <c r="A40" s="1" t="s">
        <v>35</v>
      </c>
      <c r="B40" s="11">
        <f>B38*B17</f>
        <v>220.5</v>
      </c>
      <c r="C40" s="11">
        <f>C38*C17</f>
        <v>198.45</v>
      </c>
    </row>
    <row r="41" spans="1:3" s="1" customFormat="1" x14ac:dyDescent="0.3">
      <c r="A41" s="1" t="s">
        <v>36</v>
      </c>
      <c r="B41" s="11">
        <f>B39*B18</f>
        <v>136.5</v>
      </c>
      <c r="C41" s="11">
        <f>C39*C18</f>
        <v>248.85000000000002</v>
      </c>
    </row>
    <row r="42" spans="1:3" s="1" customFormat="1" x14ac:dyDescent="0.3">
      <c r="A42" s="1" t="s">
        <v>32</v>
      </c>
      <c r="B42" s="11">
        <f>B40+B41</f>
        <v>357</v>
      </c>
      <c r="C42" s="11">
        <f>C40+C41</f>
        <v>447.3</v>
      </c>
    </row>
    <row r="43" spans="1:3" s="1" customFormat="1" x14ac:dyDescent="0.3">
      <c r="A43" s="1" t="s">
        <v>33</v>
      </c>
      <c r="B43" s="1">
        <f>-B23</f>
        <v>-252</v>
      </c>
      <c r="C43" s="1">
        <f>-C23</f>
        <v>-378</v>
      </c>
    </row>
    <row r="44" spans="1:3" s="1" customFormat="1" x14ac:dyDescent="0.3">
      <c r="A44" s="1" t="s">
        <v>34</v>
      </c>
      <c r="B44" s="2">
        <f>B42+B43</f>
        <v>105</v>
      </c>
      <c r="C44" s="2">
        <f>C42+C43</f>
        <v>69.300000000000011</v>
      </c>
    </row>
    <row r="45" spans="1:3" s="1" customFormat="1" x14ac:dyDescent="0.3"/>
    <row r="46" spans="1:3" s="1" customFormat="1" x14ac:dyDescent="0.3"/>
    <row r="47" spans="1:3" s="1" customFormat="1" x14ac:dyDescent="0.3">
      <c r="B47" s="1" t="str">
        <f>B37</f>
        <v>gunstig</v>
      </c>
      <c r="C47" s="1" t="str">
        <f>C37</f>
        <v>ongunstig</v>
      </c>
    </row>
    <row r="48" spans="1:3" s="1" customFormat="1" x14ac:dyDescent="0.3">
      <c r="A48" s="1" t="str">
        <f t="shared" ref="A48:C50" si="1">A42</f>
        <v>opbrengsten</v>
      </c>
      <c r="B48" s="11">
        <f t="shared" si="1"/>
        <v>357</v>
      </c>
      <c r="C48" s="11">
        <f t="shared" si="1"/>
        <v>447.3</v>
      </c>
    </row>
    <row r="49" spans="1:3" s="1" customFormat="1" x14ac:dyDescent="0.3">
      <c r="A49" s="1" t="str">
        <f t="shared" si="1"/>
        <v>bijdrage corporatie</v>
      </c>
      <c r="B49" s="11">
        <f t="shared" si="1"/>
        <v>-252</v>
      </c>
      <c r="C49" s="11">
        <f t="shared" si="1"/>
        <v>-378</v>
      </c>
    </row>
    <row r="50" spans="1:3" s="1" customFormat="1" x14ac:dyDescent="0.3">
      <c r="A50" s="1" t="str">
        <f t="shared" si="1"/>
        <v>voordeel huurder</v>
      </c>
      <c r="B50" s="11">
        <f t="shared" si="1"/>
        <v>105</v>
      </c>
      <c r="C50" s="11">
        <f t="shared" si="1"/>
        <v>69.300000000000011</v>
      </c>
    </row>
    <row r="51" spans="1:3" x14ac:dyDescent="0.3">
      <c r="A51"/>
    </row>
    <row r="52" spans="1:3" x14ac:dyDescent="0.3">
      <c r="A52"/>
    </row>
    <row r="53" spans="1:3" x14ac:dyDescent="0.3">
      <c r="A53"/>
    </row>
    <row r="54" spans="1:3" x14ac:dyDescent="0.3">
      <c r="A54"/>
    </row>
    <row r="55" spans="1:3" x14ac:dyDescent="0.3">
      <c r="A55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Corpeleijn</dc:creator>
  <cp:lastModifiedBy>Maarten Corpeleijn</cp:lastModifiedBy>
  <dcterms:created xsi:type="dcterms:W3CDTF">2023-08-23T14:14:47Z</dcterms:created>
  <dcterms:modified xsi:type="dcterms:W3CDTF">2024-05-28T08:43:22Z</dcterms:modified>
</cp:coreProperties>
</file>