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3_projecten\portaal fase 2\"/>
    </mc:Choice>
  </mc:AlternateContent>
  <xr:revisionPtr revIDLastSave="0" documentId="8_{C2BD76E1-D63B-4DC0-91EB-0F4F56C1B445}" xr6:coauthVersionLast="43" xr6:coauthVersionMax="43" xr10:uidLastSave="{00000000-0000-0000-0000-000000000000}"/>
  <bookViews>
    <workbookView xWindow="-108" yWindow="-108" windowWidth="30936" windowHeight="12576" xr2:uid="{5809B663-1A0B-4E8F-B7B5-62F25EAB384E}"/>
  </bookViews>
  <sheets>
    <sheet name="effect saldering aang vs werkel" sheetId="2" r:id="rId1"/>
    <sheet name="rekensheet" sheetId="3" r:id="rId2"/>
    <sheet name="huidige energietarieven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9" i="4" l="1"/>
  <c r="B10" i="4" s="1"/>
  <c r="B6" i="4"/>
  <c r="B7" i="4" s="1"/>
  <c r="C2" i="3" s="1"/>
  <c r="F2" i="3" s="1"/>
  <c r="A17" i="2"/>
  <c r="A20" i="2"/>
  <c r="C16" i="2"/>
  <c r="D16" i="2"/>
  <c r="E16" i="2"/>
  <c r="B16" i="2"/>
  <c r="A16" i="2"/>
  <c r="G12" i="3"/>
  <c r="G11" i="3"/>
  <c r="G10" i="3"/>
  <c r="G9" i="3"/>
  <c r="G8" i="3"/>
  <c r="G7" i="3"/>
  <c r="G6" i="3"/>
  <c r="G5" i="3"/>
  <c r="B3" i="3"/>
  <c r="B4" i="3" s="1"/>
  <c r="B5" i="3" s="1"/>
  <c r="B6" i="3" s="1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K2" i="3"/>
  <c r="K3" i="3" s="1"/>
  <c r="K4" i="3" s="1"/>
  <c r="K5" i="3" s="1"/>
  <c r="K6" i="3" s="1"/>
  <c r="K7" i="3" s="1"/>
  <c r="K8" i="3" s="1"/>
  <c r="K9" i="3" s="1"/>
  <c r="K10" i="3" s="1"/>
  <c r="K11" i="3" s="1"/>
  <c r="K12" i="3" s="1"/>
  <c r="K13" i="3" s="1"/>
  <c r="K14" i="3" s="1"/>
  <c r="K15" i="3" s="1"/>
  <c r="K16" i="3" s="1"/>
  <c r="K17" i="3" s="1"/>
  <c r="K18" i="3" s="1"/>
  <c r="K19" i="3" s="1"/>
  <c r="K20" i="3" s="1"/>
  <c r="K21" i="3" s="1"/>
  <c r="K22" i="3" s="1"/>
  <c r="K23" i="3" s="1"/>
  <c r="K24" i="3" s="1"/>
  <c r="K25" i="3" s="1"/>
  <c r="K26" i="3" s="1"/>
  <c r="D2" i="3"/>
  <c r="B8" i="2"/>
  <c r="I2" i="3" s="1"/>
  <c r="B17" i="2" s="1"/>
  <c r="D3" i="3" l="1"/>
  <c r="D4" i="3" s="1"/>
  <c r="D5" i="3" s="1"/>
  <c r="D6" i="3" s="1"/>
  <c r="A30" i="2"/>
  <c r="A22" i="2"/>
  <c r="A29" i="2"/>
  <c r="A21" i="2"/>
  <c r="A34" i="2"/>
  <c r="A26" i="2"/>
  <c r="A18" i="2"/>
  <c r="A36" i="2"/>
  <c r="A28" i="2"/>
  <c r="A35" i="2"/>
  <c r="A19" i="2"/>
  <c r="A25" i="2"/>
  <c r="A27" i="2"/>
  <c r="A33" i="2"/>
  <c r="A32" i="2"/>
  <c r="A24" i="2"/>
  <c r="A31" i="2"/>
  <c r="A23" i="2"/>
  <c r="D35" i="2"/>
  <c r="D23" i="2"/>
  <c r="D19" i="2"/>
  <c r="I3" i="3"/>
  <c r="D17" i="2"/>
  <c r="D34" i="2"/>
  <c r="D30" i="2"/>
  <c r="D26" i="2"/>
  <c r="D22" i="2"/>
  <c r="D18" i="2"/>
  <c r="D31" i="2"/>
  <c r="D27" i="2"/>
  <c r="D33" i="2"/>
  <c r="D29" i="2"/>
  <c r="D25" i="2"/>
  <c r="D21" i="2"/>
  <c r="D36" i="2"/>
  <c r="D32" i="2"/>
  <c r="D28" i="2"/>
  <c r="D24" i="2"/>
  <c r="D20" i="2"/>
  <c r="E2" i="3"/>
  <c r="C3" i="3"/>
  <c r="F3" i="3" s="1"/>
  <c r="D7" i="3" l="1"/>
  <c r="H2" i="3"/>
  <c r="J2" i="3" s="1"/>
  <c r="I4" i="3"/>
  <c r="B18" i="2"/>
  <c r="E3" i="3"/>
  <c r="H3" i="3" s="1"/>
  <c r="J3" i="3" s="1"/>
  <c r="C4" i="3"/>
  <c r="F4" i="3" s="1"/>
  <c r="D8" i="3" l="1"/>
  <c r="C17" i="2"/>
  <c r="L2" i="3"/>
  <c r="E17" i="2" s="1"/>
  <c r="I5" i="3"/>
  <c r="B19" i="2"/>
  <c r="L3" i="3"/>
  <c r="E18" i="2" s="1"/>
  <c r="C18" i="2"/>
  <c r="C5" i="3"/>
  <c r="E4" i="3"/>
  <c r="H4" i="3" s="1"/>
  <c r="J4" i="3" s="1"/>
  <c r="D9" i="3" l="1"/>
  <c r="I6" i="3"/>
  <c r="B20" i="2"/>
  <c r="L4" i="3"/>
  <c r="E19" i="2" s="1"/>
  <c r="C19" i="2"/>
  <c r="E5" i="3"/>
  <c r="F5" i="3" s="1"/>
  <c r="H5" i="3" s="1"/>
  <c r="J5" i="3" s="1"/>
  <c r="C6" i="3"/>
  <c r="D10" i="3" l="1"/>
  <c r="I7" i="3"/>
  <c r="B21" i="2"/>
  <c r="L5" i="3"/>
  <c r="E20" i="2" s="1"/>
  <c r="C20" i="2"/>
  <c r="C7" i="3"/>
  <c r="E6" i="3"/>
  <c r="F6" i="3" l="1"/>
  <c r="H6" i="3" s="1"/>
  <c r="J6" i="3" s="1"/>
  <c r="D11" i="3"/>
  <c r="I8" i="3"/>
  <c r="B22" i="2"/>
  <c r="E7" i="3"/>
  <c r="C8" i="3"/>
  <c r="L6" i="3" l="1"/>
  <c r="E21" i="2" s="1"/>
  <c r="C21" i="2"/>
  <c r="D12" i="3"/>
  <c r="F7" i="3"/>
  <c r="H7" i="3" s="1"/>
  <c r="J7" i="3" s="1"/>
  <c r="I9" i="3"/>
  <c r="B23" i="2"/>
  <c r="C9" i="3"/>
  <c r="E8" i="3"/>
  <c r="L7" i="3" l="1"/>
  <c r="E22" i="2" s="1"/>
  <c r="C22" i="2"/>
  <c r="F8" i="3"/>
  <c r="H8" i="3" s="1"/>
  <c r="J8" i="3" s="1"/>
  <c r="D13" i="3"/>
  <c r="I10" i="3"/>
  <c r="B24" i="2"/>
  <c r="C10" i="3"/>
  <c r="E9" i="3"/>
  <c r="L8" i="3" l="1"/>
  <c r="E23" i="2" s="1"/>
  <c r="C23" i="2"/>
  <c r="F9" i="3"/>
  <c r="H9" i="3" s="1"/>
  <c r="J9" i="3" s="1"/>
  <c r="L9" i="3" s="1"/>
  <c r="E24" i="2" s="1"/>
  <c r="D14" i="3"/>
  <c r="I11" i="3"/>
  <c r="B25" i="2"/>
  <c r="C11" i="3"/>
  <c r="E10" i="3"/>
  <c r="D15" i="3" l="1"/>
  <c r="F10" i="3"/>
  <c r="H10" i="3" s="1"/>
  <c r="J10" i="3" s="1"/>
  <c r="C24" i="2"/>
  <c r="I12" i="3"/>
  <c r="B26" i="2"/>
  <c r="C12" i="3"/>
  <c r="E11" i="3"/>
  <c r="C25" i="2" l="1"/>
  <c r="L10" i="3"/>
  <c r="E25" i="2" s="1"/>
  <c r="F11" i="3"/>
  <c r="H11" i="3" s="1"/>
  <c r="J11" i="3" s="1"/>
  <c r="D16" i="3"/>
  <c r="I13" i="3"/>
  <c r="B27" i="2"/>
  <c r="E12" i="3"/>
  <c r="C13" i="3"/>
  <c r="L11" i="3" l="1"/>
  <c r="E26" i="2" s="1"/>
  <c r="C26" i="2"/>
  <c r="D17" i="3"/>
  <c r="F12" i="3"/>
  <c r="H12" i="3" s="1"/>
  <c r="J12" i="3" s="1"/>
  <c r="I14" i="3"/>
  <c r="B28" i="2"/>
  <c r="E13" i="3"/>
  <c r="C14" i="3"/>
  <c r="L12" i="3" l="1"/>
  <c r="E27" i="2" s="1"/>
  <c r="C27" i="2"/>
  <c r="F13" i="3"/>
  <c r="H13" i="3" s="1"/>
  <c r="J13" i="3" s="1"/>
  <c r="D18" i="3"/>
  <c r="I15" i="3"/>
  <c r="B29" i="2"/>
  <c r="C15" i="3"/>
  <c r="E14" i="3"/>
  <c r="L13" i="3" l="1"/>
  <c r="E28" i="2" s="1"/>
  <c r="C28" i="2"/>
  <c r="D19" i="3"/>
  <c r="F14" i="3"/>
  <c r="H14" i="3" s="1"/>
  <c r="J14" i="3" s="1"/>
  <c r="I16" i="3"/>
  <c r="B30" i="2"/>
  <c r="C16" i="3"/>
  <c r="E15" i="3"/>
  <c r="L14" i="3" l="1"/>
  <c r="E29" i="2" s="1"/>
  <c r="C29" i="2"/>
  <c r="F15" i="3"/>
  <c r="H15" i="3" s="1"/>
  <c r="J15" i="3" s="1"/>
  <c r="D20" i="3"/>
  <c r="I17" i="3"/>
  <c r="B31" i="2"/>
  <c r="C17" i="3"/>
  <c r="E16" i="3"/>
  <c r="L15" i="3" l="1"/>
  <c r="E30" i="2" s="1"/>
  <c r="C30" i="2"/>
  <c r="D21" i="3"/>
  <c r="F16" i="3"/>
  <c r="H16" i="3" s="1"/>
  <c r="J16" i="3" s="1"/>
  <c r="L16" i="3" s="1"/>
  <c r="E31" i="2" s="1"/>
  <c r="I18" i="3"/>
  <c r="B32" i="2"/>
  <c r="C18" i="3"/>
  <c r="E17" i="3"/>
  <c r="D22" i="3" l="1"/>
  <c r="C31" i="2"/>
  <c r="F17" i="3"/>
  <c r="H17" i="3" s="1"/>
  <c r="J17" i="3" s="1"/>
  <c r="I19" i="3"/>
  <c r="B33" i="2"/>
  <c r="C19" i="3"/>
  <c r="E18" i="3"/>
  <c r="C32" i="2" l="1"/>
  <c r="L17" i="3"/>
  <c r="E32" i="2" s="1"/>
  <c r="F18" i="3"/>
  <c r="H18" i="3" s="1"/>
  <c r="J18" i="3" s="1"/>
  <c r="L18" i="3" s="1"/>
  <c r="E33" i="2" s="1"/>
  <c r="D23" i="3"/>
  <c r="I20" i="3"/>
  <c r="B34" i="2"/>
  <c r="E19" i="3"/>
  <c r="C20" i="3"/>
  <c r="C33" i="2" l="1"/>
  <c r="D24" i="3"/>
  <c r="F19" i="3"/>
  <c r="H19" i="3" s="1"/>
  <c r="J19" i="3" s="1"/>
  <c r="C34" i="2" s="1"/>
  <c r="I21" i="3"/>
  <c r="B35" i="2"/>
  <c r="E20" i="3"/>
  <c r="C21" i="3"/>
  <c r="D25" i="3" l="1"/>
  <c r="L19" i="3"/>
  <c r="E34" i="2" s="1"/>
  <c r="F20" i="3"/>
  <c r="H20" i="3" s="1"/>
  <c r="J20" i="3" s="1"/>
  <c r="I22" i="3"/>
  <c r="B36" i="2"/>
  <c r="C22" i="3"/>
  <c r="E21" i="3"/>
  <c r="C35" i="2" l="1"/>
  <c r="L20" i="3"/>
  <c r="E35" i="2" s="1"/>
  <c r="F21" i="3"/>
  <c r="H21" i="3" s="1"/>
  <c r="J21" i="3" s="1"/>
  <c r="D26" i="3"/>
  <c r="I23" i="3"/>
  <c r="C23" i="3"/>
  <c r="E22" i="3"/>
  <c r="L21" i="3" l="1"/>
  <c r="E36" i="2" s="1"/>
  <c r="C36" i="2"/>
  <c r="F22" i="3"/>
  <c r="H22" i="3" s="1"/>
  <c r="J22" i="3" s="1"/>
  <c r="I24" i="3"/>
  <c r="E23" i="3"/>
  <c r="C24" i="3"/>
  <c r="L22" i="3" l="1"/>
  <c r="F23" i="3"/>
  <c r="H23" i="3" s="1"/>
  <c r="J23" i="3" s="1"/>
  <c r="I25" i="3"/>
  <c r="C25" i="3"/>
  <c r="E24" i="3"/>
  <c r="L23" i="3" l="1"/>
  <c r="F24" i="3"/>
  <c r="H24" i="3" s="1"/>
  <c r="J24" i="3" s="1"/>
  <c r="I26" i="3"/>
  <c r="C26" i="3"/>
  <c r="E25" i="3"/>
  <c r="L24" i="3" l="1"/>
  <c r="F25" i="3"/>
  <c r="H25" i="3" s="1"/>
  <c r="J25" i="3" s="1"/>
  <c r="E26" i="3"/>
  <c r="L25" i="3" l="1"/>
  <c r="F26" i="3"/>
  <c r="H26" i="3" s="1"/>
  <c r="J26" i="3" s="1"/>
  <c r="L26" i="3" l="1"/>
</calcChain>
</file>

<file path=xl/sharedStrings.xml><?xml version="1.0" encoding="utf-8"?>
<sst xmlns="http://schemas.openxmlformats.org/spreadsheetml/2006/main" count="46" uniqueCount="44">
  <si>
    <t>exploitatiejaar</t>
  </si>
  <si>
    <t>jaar</t>
  </si>
  <si>
    <t>schijf</t>
  </si>
  <si>
    <t>tariefsrange</t>
  </si>
  <si>
    <t>0-10,000 kwh</t>
  </si>
  <si>
    <t>kale stroomprijs gemiddeld</t>
  </si>
  <si>
    <t>Energiebelasting op elektriciteit</t>
  </si>
  <si>
    <t xml:space="preserve">Opslag duurzame energie </t>
  </si>
  <si>
    <t>totaal ex btw</t>
  </si>
  <si>
    <t>totaal inclusief btw</t>
  </si>
  <si>
    <t>schijf 1</t>
  </si>
  <si>
    <t>deel per jaar</t>
  </si>
  <si>
    <t>deel belasting (energiebelasting en opslag duurzame energie, plus btw daarover)</t>
  </si>
  <si>
    <t>Effect wegvallen saldering 2023-2031 op voordeel voor huurder</t>
  </si>
  <si>
    <t>Aantal panelen</t>
  </si>
  <si>
    <t>Wattpiek vermogen</t>
  </si>
  <si>
    <t>kWh per wattpiek per jaar</t>
  </si>
  <si>
    <t>kWh per jaar in eerste jaar</t>
  </si>
  <si>
    <t>Degradatie van systeem per jaar (lineair)</t>
  </si>
  <si>
    <t>Indexering bijdrage huurders</t>
  </si>
  <si>
    <t>opmerking</t>
  </si>
  <si>
    <t>Indexering stroomkosten</t>
  </si>
  <si>
    <t>deel afbouw</t>
  </si>
  <si>
    <t>Deel van stroom die huurder zelf verbruikt</t>
  </si>
  <si>
    <t>inschatting</t>
  </si>
  <si>
    <t>huidige bijdrage</t>
  </si>
  <si>
    <t>Bijdrage huurders per maand</t>
  </si>
  <si>
    <t>waarde direct verbruikte stroom (euro per kWh)</t>
  </si>
  <si>
    <t>waarde niet direct gebruikte stroom - deel verkoop/inkoop elektriciteitsbedrijf (euro per kWh)</t>
  </si>
  <si>
    <t>waarde niet direct gebruikte stroom - deel fiscaal (energiebelasting, opslag duurzame energie, btw) (euro per kWh)</t>
  </si>
  <si>
    <t>waarde (euro per kWh)</t>
  </si>
  <si>
    <t>opbrengst (kWh per jaar)</t>
  </si>
  <si>
    <t>Geel is zelf in te vullen velden</t>
  </si>
  <si>
    <t>inschatting, zie model: https://pvspeicher.htw-berlin.de/unabhaengigkeitsrechner/#</t>
  </si>
  <si>
    <t>opbrengst (euro per jaar)</t>
  </si>
  <si>
    <t>bijdrage (euro per jaar)</t>
  </si>
  <si>
    <t>voordeel huurders (euro per jaar)</t>
  </si>
  <si>
    <t>waarde niet direct gebruikte stroom totaal - scenario wiebes (euro per kWh)</t>
  </si>
  <si>
    <t>Maarten Corpeleijn, www.zonnighuren.nl, d.d. 20 mei 2019</t>
  </si>
  <si>
    <t>Reacties/vragen: maarten@huurenergie.nl</t>
  </si>
  <si>
    <t>kengetal</t>
  </si>
  <si>
    <t>zelf invullen</t>
  </si>
  <si>
    <t>uitkomst</t>
  </si>
  <si>
    <t>zelf bijdrage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</si>
</sst>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€&quot;\ #,##0.00;[Red]&quot;€&quot;\ \-#,##0.00"/>
    <numFmt numFmtId="43" formatCode="_ * #,##0.00_ ;_ * \-#,##0.00_ ;_ * &quot;-&quot;??_ ;_ @_ "/>
    <numFmt numFmtId="164" formatCode="0.0%"/>
    <numFmt numFmtId="165" formatCode="_ * #,##0_ ;_ * \-#,##0_ ;_ * &quot;-&quot;??_ ;_ @_ "/>
    <numFmt numFmtId="166" formatCode="0.0"/>
  </numFmts>
  <fonts count="3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2" fontId="0" fillId="0" borderId="0" xfId="0" applyNumberFormat="1"/>
    <xf numFmtId="8" fontId="0" fillId="0" borderId="0" xfId="0" applyNumberFormat="1"/>
    <xf numFmtId="0" fontId="0" fillId="0" borderId="0" xfId="0" applyAlignment="1">
      <alignment vertical="top" wrapText="1"/>
    </xf>
    <xf numFmtId="9" fontId="0" fillId="0" borderId="0" xfId="2" applyFont="1"/>
    <xf numFmtId="1" fontId="0" fillId="0" borderId="0" xfId="0" applyNumberFormat="1"/>
    <xf numFmtId="166" fontId="0" fillId="0" borderId="0" xfId="0" applyNumberFormat="1"/>
    <xf numFmtId="0" fontId="2" fillId="0" borderId="0" xfId="0" applyFont="1"/>
    <xf numFmtId="165" fontId="0" fillId="0" borderId="0" xfId="1" applyNumberFormat="1" applyFont="1"/>
    <xf numFmtId="0" fontId="0" fillId="3" borderId="0" xfId="0" applyFill="1"/>
    <xf numFmtId="0" fontId="0" fillId="3" borderId="0" xfId="0" applyFont="1" applyFill="1"/>
    <xf numFmtId="9" fontId="0" fillId="3" borderId="0" xfId="0" applyNumberFormat="1" applyFill="1"/>
    <xf numFmtId="0" fontId="0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10" fontId="0" fillId="3" borderId="0" xfId="0" applyNumberFormat="1" applyFill="1" applyBorder="1"/>
    <xf numFmtId="0" fontId="0" fillId="0" borderId="5" xfId="0" applyBorder="1"/>
    <xf numFmtId="0" fontId="0" fillId="0" borderId="6" xfId="0" applyBorder="1"/>
    <xf numFmtId="10" fontId="0" fillId="3" borderId="7" xfId="0" applyNumberFormat="1" applyFill="1" applyBorder="1"/>
    <xf numFmtId="0" fontId="0" fillId="0" borderId="8" xfId="0" applyBorder="1"/>
    <xf numFmtId="0" fontId="0" fillId="3" borderId="2" xfId="0" applyFill="1" applyBorder="1"/>
    <xf numFmtId="0" fontId="0" fillId="3" borderId="0" xfId="0" applyFill="1" applyBorder="1"/>
    <xf numFmtId="1" fontId="0" fillId="2" borderId="0" xfId="0" applyNumberFormat="1" applyFill="1" applyBorder="1"/>
    <xf numFmtId="164" fontId="0" fillId="3" borderId="7" xfId="2" applyNumberFormat="1" applyFont="1" applyFill="1" applyBorder="1"/>
  </cellXfs>
  <cellStyles count="3">
    <cellStyle name="Komma" xfId="1" builtinId="3"/>
    <cellStyle name="Procent" xfId="2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Opbrengst</a:t>
            </a:r>
            <a:r>
              <a:rPr lang="nl-NL" baseline="0"/>
              <a:t>  zonnepanelen na wegvallen saldering</a:t>
            </a:r>
            <a:endParaRPr lang="nl-NL"/>
          </a:p>
        </c:rich>
      </c:tx>
      <c:layout>
        <c:manualLayout>
          <c:xMode val="edge"/>
          <c:yMode val="edge"/>
          <c:x val="0.10987510936132984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'effect saldering aang vs werkel'!$C$16</c:f>
              <c:strCache>
                <c:ptCount val="1"/>
                <c:pt idx="0">
                  <c:v>opbrengst (euro per jaar)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'effect saldering aang vs werkel'!$A$17:$A$41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xVal>
          <c:yVal>
            <c:numRef>
              <c:f>'effect saldering aang vs werkel'!$C$17:$C$41</c:f>
              <c:numCache>
                <c:formatCode>_ * #,##0_ ;_ * \-#,##0_ ;_ * "-"??_ ;_ @_ </c:formatCode>
                <c:ptCount val="25"/>
                <c:pt idx="0">
                  <c:v>328.79904749999997</c:v>
                </c:pt>
                <c:pt idx="1">
                  <c:v>330.42660278512494</c:v>
                </c:pt>
                <c:pt idx="2">
                  <c:v>332.05382927120246</c:v>
                </c:pt>
                <c:pt idx="3">
                  <c:v>320.02669757874537</c:v>
                </c:pt>
                <c:pt idx="4">
                  <c:v>307.86582191670442</c:v>
                </c:pt>
                <c:pt idx="5">
                  <c:v>295.57113015932919</c:v>
                </c:pt>
                <c:pt idx="6">
                  <c:v>283.14257611315583</c:v>
                </c:pt>
                <c:pt idx="7">
                  <c:v>270.5801401828694</c:v>
                </c:pt>
                <c:pt idx="8">
                  <c:v>257.88383004929074</c:v>
                </c:pt>
                <c:pt idx="9">
                  <c:v>245.05368135967615</c:v>
                </c:pt>
                <c:pt idx="10">
                  <c:v>232.08975843052482</c:v>
                </c:pt>
                <c:pt idx="11">
                  <c:v>218.99215496308761</c:v>
                </c:pt>
                <c:pt idx="12">
                  <c:v>220.01180097561416</c:v>
                </c:pt>
                <c:pt idx="13">
                  <c:v>221.02994069289494</c:v>
                </c:pt>
                <c:pt idx="14">
                  <c:v>222.04644202442378</c:v>
                </c:pt>
                <c:pt idx="15">
                  <c:v>223.06117038851389</c:v>
                </c:pt>
                <c:pt idx="16">
                  <c:v>224.07398867568335</c:v>
                </c:pt>
                <c:pt idx="17">
                  <c:v>225.08475721155739</c:v>
                </c:pt>
                <c:pt idx="18">
                  <c:v>226.09333371928128</c:v>
                </c:pt>
                <c:pt idx="19">
                  <c:v>227.09957328143858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C30-46D2-953E-6EEF90A7D9ED}"/>
            </c:ext>
          </c:extLst>
        </c:ser>
        <c:ser>
          <c:idx val="1"/>
          <c:order val="1"/>
          <c:tx>
            <c:strRef>
              <c:f>'effect saldering aang vs werkel'!$D$16</c:f>
              <c:strCache>
                <c:ptCount val="1"/>
                <c:pt idx="0">
                  <c:v>bijdrage (euro per jaar)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'effect saldering aang vs werkel'!$A$17:$A$41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xVal>
          <c:yVal>
            <c:numRef>
              <c:f>'effect saldering aang vs werkel'!$D$17:$D$41</c:f>
              <c:numCache>
                <c:formatCode>_ * #,##0_ ;_ * \-#,##0_ ;_ * "-"??_ ;_ @_ </c:formatCode>
                <c:ptCount val="25"/>
                <c:pt idx="0">
                  <c:v>180</c:v>
                </c:pt>
                <c:pt idx="1">
                  <c:v>180</c:v>
                </c:pt>
                <c:pt idx="2">
                  <c:v>180</c:v>
                </c:pt>
                <c:pt idx="3">
                  <c:v>180</c:v>
                </c:pt>
                <c:pt idx="4">
                  <c:v>180</c:v>
                </c:pt>
                <c:pt idx="5">
                  <c:v>180</c:v>
                </c:pt>
                <c:pt idx="6">
                  <c:v>180</c:v>
                </c:pt>
                <c:pt idx="7">
                  <c:v>180</c:v>
                </c:pt>
                <c:pt idx="8">
                  <c:v>180</c:v>
                </c:pt>
                <c:pt idx="9">
                  <c:v>180</c:v>
                </c:pt>
                <c:pt idx="10">
                  <c:v>180</c:v>
                </c:pt>
                <c:pt idx="11">
                  <c:v>180</c:v>
                </c:pt>
                <c:pt idx="12">
                  <c:v>180</c:v>
                </c:pt>
                <c:pt idx="13">
                  <c:v>180</c:v>
                </c:pt>
                <c:pt idx="14">
                  <c:v>180</c:v>
                </c:pt>
                <c:pt idx="15">
                  <c:v>180</c:v>
                </c:pt>
                <c:pt idx="16">
                  <c:v>180</c:v>
                </c:pt>
                <c:pt idx="17">
                  <c:v>180</c:v>
                </c:pt>
                <c:pt idx="18">
                  <c:v>180</c:v>
                </c:pt>
                <c:pt idx="19">
                  <c:v>180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C30-46D2-953E-6EEF90A7D9ED}"/>
            </c:ext>
          </c:extLst>
        </c:ser>
        <c:ser>
          <c:idx val="2"/>
          <c:order val="2"/>
          <c:tx>
            <c:strRef>
              <c:f>'effect saldering aang vs werkel'!$E$16</c:f>
              <c:strCache>
                <c:ptCount val="1"/>
                <c:pt idx="0">
                  <c:v>voordeel huurders (euro per jaar)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'effect saldering aang vs werkel'!$A$17:$A$41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xVal>
          <c:yVal>
            <c:numRef>
              <c:f>'effect saldering aang vs werkel'!$E$17:$E$41</c:f>
              <c:numCache>
                <c:formatCode>_ * #,##0_ ;_ * \-#,##0_ ;_ * "-"??_ ;_ @_ </c:formatCode>
                <c:ptCount val="25"/>
                <c:pt idx="0">
                  <c:v>148.79904749999997</c:v>
                </c:pt>
                <c:pt idx="1">
                  <c:v>150.42660278512494</c:v>
                </c:pt>
                <c:pt idx="2">
                  <c:v>152.05382927120246</c:v>
                </c:pt>
                <c:pt idx="3">
                  <c:v>140.02669757874537</c:v>
                </c:pt>
                <c:pt idx="4">
                  <c:v>127.86582191670442</c:v>
                </c:pt>
                <c:pt idx="5">
                  <c:v>115.57113015932919</c:v>
                </c:pt>
                <c:pt idx="6">
                  <c:v>103.14257611315583</c:v>
                </c:pt>
                <c:pt idx="7">
                  <c:v>90.5801401828694</c:v>
                </c:pt>
                <c:pt idx="8">
                  <c:v>77.883830049290736</c:v>
                </c:pt>
                <c:pt idx="9">
                  <c:v>65.053681359676148</c:v>
                </c:pt>
                <c:pt idx="10">
                  <c:v>52.089758430524824</c:v>
                </c:pt>
                <c:pt idx="11">
                  <c:v>38.992154963087614</c:v>
                </c:pt>
                <c:pt idx="12">
                  <c:v>40.011800975614165</c:v>
                </c:pt>
                <c:pt idx="13">
                  <c:v>41.02994069289494</c:v>
                </c:pt>
                <c:pt idx="14">
                  <c:v>42.046442024423783</c:v>
                </c:pt>
                <c:pt idx="15">
                  <c:v>43.061170388513887</c:v>
                </c:pt>
                <c:pt idx="16">
                  <c:v>44.073988675683353</c:v>
                </c:pt>
                <c:pt idx="17">
                  <c:v>45.084757211557388</c:v>
                </c:pt>
                <c:pt idx="18">
                  <c:v>46.093333719281276</c:v>
                </c:pt>
                <c:pt idx="19">
                  <c:v>47.09957328143858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C30-46D2-953E-6EEF90A7D9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4648248"/>
        <c:axId val="644641688"/>
      </c:scatterChart>
      <c:valAx>
        <c:axId val="644648248"/>
        <c:scaling>
          <c:orientation val="minMax"/>
          <c:max val="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Exploitatiejaar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44641688"/>
        <c:crosses val="autoZero"/>
        <c:crossBetween val="midCat"/>
      </c:valAx>
      <c:valAx>
        <c:axId val="644641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446482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434787</xdr:colOff>
      <xdr:row>14</xdr:row>
      <xdr:rowOff>147917</xdr:rowOff>
    </xdr:from>
    <xdr:to>
      <xdr:col>8</xdr:col>
      <xdr:colOff>1649505</xdr:colOff>
      <xdr:row>32</xdr:row>
      <xdr:rowOff>116541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97CC5216-92A2-41AA-A42C-3A5A3D5655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821EB-770E-404A-A31E-3EE5C35FC62E}">
  <dimension ref="A1:F44"/>
  <sheetViews>
    <sheetView tabSelected="1" zoomScale="85" zoomScaleNormal="85" workbookViewId="0">
      <selection activeCell="A16" sqref="A16"/>
    </sheetView>
  </sheetViews>
  <sheetFormatPr defaultRowHeight="13.2" x14ac:dyDescent="0.25"/>
  <cols>
    <col min="1" max="1" width="54.77734375" bestFit="1" customWidth="1"/>
    <col min="2" max="2" width="18.33203125" customWidth="1"/>
    <col min="3" max="3" width="20.33203125" customWidth="1"/>
    <col min="4" max="4" width="16.88671875" customWidth="1"/>
    <col min="5" max="5" width="22.109375" customWidth="1"/>
    <col min="6" max="6" width="40.109375" bestFit="1" customWidth="1"/>
    <col min="7" max="7" width="10.77734375" bestFit="1" customWidth="1"/>
    <col min="8" max="8" width="14.5546875" bestFit="1" customWidth="1"/>
    <col min="9" max="9" width="37" bestFit="1" customWidth="1"/>
    <col min="10" max="10" width="38" bestFit="1" customWidth="1"/>
    <col min="13" max="13" width="26.5546875" bestFit="1" customWidth="1"/>
    <col min="14" max="14" width="11.88671875" bestFit="1" customWidth="1"/>
  </cols>
  <sheetData>
    <row r="1" spans="1:5" x14ac:dyDescent="0.25">
      <c r="A1" s="7" t="s">
        <v>13</v>
      </c>
    </row>
    <row r="2" spans="1:5" x14ac:dyDescent="0.25">
      <c r="A2" s="12" t="s">
        <v>38</v>
      </c>
    </row>
    <row r="3" spans="1:5" x14ac:dyDescent="0.25">
      <c r="A3" s="12" t="s">
        <v>39</v>
      </c>
    </row>
    <row r="4" spans="1:5" ht="13.8" thickBot="1" x14ac:dyDescent="0.3">
      <c r="A4" s="10" t="s">
        <v>32</v>
      </c>
      <c r="B4" s="9"/>
      <c r="C4" t="s">
        <v>20</v>
      </c>
    </row>
    <row r="5" spans="1:5" x14ac:dyDescent="0.25">
      <c r="A5" s="13" t="s">
        <v>14</v>
      </c>
      <c r="B5" s="22">
        <v>6</v>
      </c>
      <c r="C5" s="15" t="s">
        <v>41</v>
      </c>
    </row>
    <row r="6" spans="1:5" x14ac:dyDescent="0.25">
      <c r="A6" s="16" t="s">
        <v>15</v>
      </c>
      <c r="B6" s="23">
        <v>300</v>
      </c>
      <c r="C6" s="18" t="s">
        <v>41</v>
      </c>
    </row>
    <row r="7" spans="1:5" x14ac:dyDescent="0.25">
      <c r="A7" s="16" t="s">
        <v>16</v>
      </c>
      <c r="B7" s="23">
        <v>0.875</v>
      </c>
      <c r="C7" s="18" t="s">
        <v>40</v>
      </c>
    </row>
    <row r="8" spans="1:5" x14ac:dyDescent="0.25">
      <c r="A8" s="16" t="s">
        <v>17</v>
      </c>
      <c r="B8" s="24">
        <f>B5*B6*B7</f>
        <v>1575</v>
      </c>
      <c r="C8" s="18" t="s">
        <v>42</v>
      </c>
    </row>
    <row r="9" spans="1:5" ht="13.8" thickBot="1" x14ac:dyDescent="0.3">
      <c r="A9" s="19" t="s">
        <v>18</v>
      </c>
      <c r="B9" s="25">
        <v>5.0000000000000001E-3</v>
      </c>
      <c r="C9" s="21" t="s">
        <v>40</v>
      </c>
    </row>
    <row r="10" spans="1:5" x14ac:dyDescent="0.25">
      <c r="A10" s="13" t="s">
        <v>26</v>
      </c>
      <c r="B10" s="14">
        <v>15</v>
      </c>
      <c r="C10" s="15" t="s">
        <v>25</v>
      </c>
    </row>
    <row r="11" spans="1:5" x14ac:dyDescent="0.25">
      <c r="A11" s="16" t="s">
        <v>19</v>
      </c>
      <c r="B11" s="17">
        <v>0</v>
      </c>
      <c r="C11" s="18" t="s">
        <v>43</v>
      </c>
    </row>
    <row r="12" spans="1:5" ht="13.8" thickBot="1" x14ac:dyDescent="0.3">
      <c r="A12" s="19" t="s">
        <v>21</v>
      </c>
      <c r="B12" s="20">
        <v>0.01</v>
      </c>
      <c r="C12" s="21" t="s">
        <v>24</v>
      </c>
    </row>
    <row r="13" spans="1:5" x14ac:dyDescent="0.25">
      <c r="A13" t="s">
        <v>23</v>
      </c>
      <c r="B13" s="11">
        <v>0.5</v>
      </c>
      <c r="C13" t="s">
        <v>33</v>
      </c>
    </row>
    <row r="15" spans="1:5" s="3" customFormat="1" x14ac:dyDescent="0.25"/>
    <row r="16" spans="1:5" s="3" customFormat="1" ht="26.4" x14ac:dyDescent="0.25">
      <c r="A16" s="3" t="str">
        <f>rekensheet!A1</f>
        <v>exploitatiejaar</v>
      </c>
      <c r="B16" s="3" t="str">
        <f>rekensheet!I1</f>
        <v>opbrengst (kWh per jaar)</v>
      </c>
      <c r="C16" s="3" t="str">
        <f>rekensheet!J1</f>
        <v>opbrengst (euro per jaar)</v>
      </c>
      <c r="D16" s="3" t="str">
        <f>rekensheet!K1</f>
        <v>bijdrage (euro per jaar)</v>
      </c>
      <c r="E16" s="3" t="str">
        <f>rekensheet!L1</f>
        <v>voordeel huurders (euro per jaar)</v>
      </c>
    </row>
    <row r="17" spans="1:5" x14ac:dyDescent="0.25">
      <c r="A17">
        <f>rekensheet!A2</f>
        <v>1</v>
      </c>
      <c r="B17" s="8">
        <f>rekensheet!I2</f>
        <v>1575</v>
      </c>
      <c r="C17" s="8">
        <f>rekensheet!J2</f>
        <v>328.79904749999997</v>
      </c>
      <c r="D17" s="8">
        <f>rekensheet!K2</f>
        <v>180</v>
      </c>
      <c r="E17" s="8">
        <f>rekensheet!L2</f>
        <v>148.79904749999997</v>
      </c>
    </row>
    <row r="18" spans="1:5" x14ac:dyDescent="0.25">
      <c r="A18">
        <f>rekensheet!A3</f>
        <v>2</v>
      </c>
      <c r="B18" s="8">
        <f>rekensheet!I3</f>
        <v>1567.125</v>
      </c>
      <c r="C18" s="8">
        <f>rekensheet!J3</f>
        <v>330.42660278512494</v>
      </c>
      <c r="D18" s="8">
        <f>rekensheet!K3</f>
        <v>180</v>
      </c>
      <c r="E18" s="8">
        <f>rekensheet!L3</f>
        <v>150.42660278512494</v>
      </c>
    </row>
    <row r="19" spans="1:5" x14ac:dyDescent="0.25">
      <c r="A19">
        <f>rekensheet!A4</f>
        <v>3</v>
      </c>
      <c r="B19" s="8">
        <f>rekensheet!I4</f>
        <v>1559.25</v>
      </c>
      <c r="C19" s="8">
        <f>rekensheet!J4</f>
        <v>332.05382927120246</v>
      </c>
      <c r="D19" s="8">
        <f>rekensheet!K4</f>
        <v>180</v>
      </c>
      <c r="E19" s="8">
        <f>rekensheet!L4</f>
        <v>152.05382927120246</v>
      </c>
    </row>
    <row r="20" spans="1:5" x14ac:dyDescent="0.25">
      <c r="A20">
        <f>rekensheet!A5</f>
        <v>4</v>
      </c>
      <c r="B20" s="8">
        <f>rekensheet!I5</f>
        <v>1551.375</v>
      </c>
      <c r="C20" s="8">
        <f>rekensheet!J5</f>
        <v>320.02669757874537</v>
      </c>
      <c r="D20" s="8">
        <f>rekensheet!K5</f>
        <v>180</v>
      </c>
      <c r="E20" s="8">
        <f>rekensheet!L5</f>
        <v>140.02669757874537</v>
      </c>
    </row>
    <row r="21" spans="1:5" x14ac:dyDescent="0.25">
      <c r="A21">
        <f>rekensheet!A6</f>
        <v>5</v>
      </c>
      <c r="B21" s="8">
        <f>rekensheet!I6</f>
        <v>1543.5</v>
      </c>
      <c r="C21" s="8">
        <f>rekensheet!J6</f>
        <v>307.86582191670442</v>
      </c>
      <c r="D21" s="8">
        <f>rekensheet!K6</f>
        <v>180</v>
      </c>
      <c r="E21" s="8">
        <f>rekensheet!L6</f>
        <v>127.86582191670442</v>
      </c>
    </row>
    <row r="22" spans="1:5" x14ac:dyDescent="0.25">
      <c r="A22">
        <f>rekensheet!A7</f>
        <v>6</v>
      </c>
      <c r="B22" s="8">
        <f>rekensheet!I7</f>
        <v>1535.625</v>
      </c>
      <c r="C22" s="8">
        <f>rekensheet!J7</f>
        <v>295.57113015932919</v>
      </c>
      <c r="D22" s="8">
        <f>rekensheet!K7</f>
        <v>180</v>
      </c>
      <c r="E22" s="8">
        <f>rekensheet!L7</f>
        <v>115.57113015932919</v>
      </c>
    </row>
    <row r="23" spans="1:5" x14ac:dyDescent="0.25">
      <c r="A23">
        <f>rekensheet!A8</f>
        <v>7</v>
      </c>
      <c r="B23" s="8">
        <f>rekensheet!I8</f>
        <v>1527.75</v>
      </c>
      <c r="C23" s="8">
        <f>rekensheet!J8</f>
        <v>283.14257611315583</v>
      </c>
      <c r="D23" s="8">
        <f>rekensheet!K8</f>
        <v>180</v>
      </c>
      <c r="E23" s="8">
        <f>rekensheet!L8</f>
        <v>103.14257611315583</v>
      </c>
    </row>
    <row r="24" spans="1:5" x14ac:dyDescent="0.25">
      <c r="A24">
        <f>rekensheet!A9</f>
        <v>8</v>
      </c>
      <c r="B24" s="8">
        <f>rekensheet!I9</f>
        <v>1519.875</v>
      </c>
      <c r="C24" s="8">
        <f>rekensheet!J9</f>
        <v>270.5801401828694</v>
      </c>
      <c r="D24" s="8">
        <f>rekensheet!K9</f>
        <v>180</v>
      </c>
      <c r="E24" s="8">
        <f>rekensheet!L9</f>
        <v>90.5801401828694</v>
      </c>
    </row>
    <row r="25" spans="1:5" x14ac:dyDescent="0.25">
      <c r="A25">
        <f>rekensheet!A10</f>
        <v>9</v>
      </c>
      <c r="B25" s="8">
        <f>rekensheet!I10</f>
        <v>1512</v>
      </c>
      <c r="C25" s="8">
        <f>rekensheet!J10</f>
        <v>257.88383004929074</v>
      </c>
      <c r="D25" s="8">
        <f>rekensheet!K10</f>
        <v>180</v>
      </c>
      <c r="E25" s="8">
        <f>rekensheet!L10</f>
        <v>77.883830049290736</v>
      </c>
    </row>
    <row r="26" spans="1:5" x14ac:dyDescent="0.25">
      <c r="A26">
        <f>rekensheet!A11</f>
        <v>10</v>
      </c>
      <c r="B26" s="8">
        <f>rekensheet!I11</f>
        <v>1504.125</v>
      </c>
      <c r="C26" s="8">
        <f>rekensheet!J11</f>
        <v>245.05368135967615</v>
      </c>
      <c r="D26" s="8">
        <f>rekensheet!K11</f>
        <v>180</v>
      </c>
      <c r="E26" s="8">
        <f>rekensheet!L11</f>
        <v>65.053681359676148</v>
      </c>
    </row>
    <row r="27" spans="1:5" x14ac:dyDescent="0.25">
      <c r="A27">
        <f>rekensheet!A12</f>
        <v>11</v>
      </c>
      <c r="B27" s="8">
        <f>rekensheet!I12</f>
        <v>1496.25</v>
      </c>
      <c r="C27" s="8">
        <f>rekensheet!J12</f>
        <v>232.08975843052482</v>
      </c>
      <c r="D27" s="8">
        <f>rekensheet!K12</f>
        <v>180</v>
      </c>
      <c r="E27" s="8">
        <f>rekensheet!L12</f>
        <v>52.089758430524824</v>
      </c>
    </row>
    <row r="28" spans="1:5" x14ac:dyDescent="0.25">
      <c r="A28">
        <f>rekensheet!A13</f>
        <v>12</v>
      </c>
      <c r="B28" s="8">
        <f>rekensheet!I13</f>
        <v>1488.375</v>
      </c>
      <c r="C28" s="8">
        <f>rekensheet!J13</f>
        <v>218.99215496308761</v>
      </c>
      <c r="D28" s="8">
        <f>rekensheet!K13</f>
        <v>180</v>
      </c>
      <c r="E28" s="8">
        <f>rekensheet!L13</f>
        <v>38.992154963087614</v>
      </c>
    </row>
    <row r="29" spans="1:5" x14ac:dyDescent="0.25">
      <c r="A29">
        <f>rekensheet!A14</f>
        <v>13</v>
      </c>
      <c r="B29" s="8">
        <f>rekensheet!I14</f>
        <v>1480.5</v>
      </c>
      <c r="C29" s="8">
        <f>rekensheet!J14</f>
        <v>220.01180097561416</v>
      </c>
      <c r="D29" s="8">
        <f>rekensheet!K14</f>
        <v>180</v>
      </c>
      <c r="E29" s="8">
        <f>rekensheet!L14</f>
        <v>40.011800975614165</v>
      </c>
    </row>
    <row r="30" spans="1:5" x14ac:dyDescent="0.25">
      <c r="A30">
        <f>rekensheet!A15</f>
        <v>14</v>
      </c>
      <c r="B30" s="8">
        <f>rekensheet!I15</f>
        <v>1472.625</v>
      </c>
      <c r="C30" s="8">
        <f>rekensheet!J15</f>
        <v>221.02994069289494</v>
      </c>
      <c r="D30" s="8">
        <f>rekensheet!K15</f>
        <v>180</v>
      </c>
      <c r="E30" s="8">
        <f>rekensheet!L15</f>
        <v>41.02994069289494</v>
      </c>
    </row>
    <row r="31" spans="1:5" x14ac:dyDescent="0.25">
      <c r="A31">
        <f>rekensheet!A16</f>
        <v>15</v>
      </c>
      <c r="B31" s="8">
        <f>rekensheet!I16</f>
        <v>1464.75</v>
      </c>
      <c r="C31" s="8">
        <f>rekensheet!J16</f>
        <v>222.04644202442378</v>
      </c>
      <c r="D31" s="8">
        <f>rekensheet!K16</f>
        <v>180</v>
      </c>
      <c r="E31" s="8">
        <f>rekensheet!L16</f>
        <v>42.046442024423783</v>
      </c>
    </row>
    <row r="32" spans="1:5" x14ac:dyDescent="0.25">
      <c r="A32">
        <f>rekensheet!A17</f>
        <v>16</v>
      </c>
      <c r="B32" s="8">
        <f>rekensheet!I17</f>
        <v>1456.875</v>
      </c>
      <c r="C32" s="8">
        <f>rekensheet!J17</f>
        <v>223.06117038851389</v>
      </c>
      <c r="D32" s="8">
        <f>rekensheet!K17</f>
        <v>180</v>
      </c>
      <c r="E32" s="8">
        <f>rekensheet!L17</f>
        <v>43.061170388513887</v>
      </c>
    </row>
    <row r="33" spans="1:6" x14ac:dyDescent="0.25">
      <c r="A33">
        <f>rekensheet!A18</f>
        <v>17</v>
      </c>
      <c r="B33" s="8">
        <f>rekensheet!I18</f>
        <v>1449</v>
      </c>
      <c r="C33" s="8">
        <f>rekensheet!J18</f>
        <v>224.07398867568335</v>
      </c>
      <c r="D33" s="8">
        <f>rekensheet!K18</f>
        <v>180</v>
      </c>
      <c r="E33" s="8">
        <f>rekensheet!L18</f>
        <v>44.073988675683353</v>
      </c>
    </row>
    <row r="34" spans="1:6" x14ac:dyDescent="0.25">
      <c r="A34">
        <f>rekensheet!A19</f>
        <v>18</v>
      </c>
      <c r="B34" s="8">
        <f>rekensheet!I19</f>
        <v>1441.125</v>
      </c>
      <c r="C34" s="8">
        <f>rekensheet!J19</f>
        <v>225.08475721155739</v>
      </c>
      <c r="D34" s="8">
        <f>rekensheet!K19</f>
        <v>180</v>
      </c>
      <c r="E34" s="8">
        <f>rekensheet!L19</f>
        <v>45.084757211557388</v>
      </c>
    </row>
    <row r="35" spans="1:6" x14ac:dyDescent="0.25">
      <c r="A35">
        <f>rekensheet!A20</f>
        <v>19</v>
      </c>
      <c r="B35" s="8">
        <f>rekensheet!I20</f>
        <v>1433.25</v>
      </c>
      <c r="C35" s="8">
        <f>rekensheet!J20</f>
        <v>226.09333371928128</v>
      </c>
      <c r="D35" s="8">
        <f>rekensheet!K20</f>
        <v>180</v>
      </c>
      <c r="E35" s="8">
        <f>rekensheet!L20</f>
        <v>46.093333719281276</v>
      </c>
    </row>
    <row r="36" spans="1:6" x14ac:dyDescent="0.25">
      <c r="A36">
        <f>rekensheet!A21</f>
        <v>20</v>
      </c>
      <c r="B36" s="8">
        <f>rekensheet!I21</f>
        <v>1425.375</v>
      </c>
      <c r="C36" s="8">
        <f>rekensheet!J21</f>
        <v>227.09957328143858</v>
      </c>
      <c r="D36" s="8">
        <f>rekensheet!K21</f>
        <v>180</v>
      </c>
      <c r="E36" s="8">
        <f>rekensheet!L21</f>
        <v>47.09957328143858</v>
      </c>
    </row>
    <row r="37" spans="1:6" x14ac:dyDescent="0.25">
      <c r="B37" s="8"/>
      <c r="C37" s="8"/>
      <c r="D37" s="8"/>
      <c r="E37" s="8"/>
    </row>
    <row r="38" spans="1:6" x14ac:dyDescent="0.25">
      <c r="B38" s="8"/>
      <c r="C38" s="8"/>
      <c r="D38" s="8"/>
      <c r="E38" s="8"/>
    </row>
    <row r="39" spans="1:6" x14ac:dyDescent="0.25">
      <c r="B39" s="8"/>
      <c r="C39" s="8"/>
      <c r="D39" s="8"/>
      <c r="E39" s="8"/>
    </row>
    <row r="40" spans="1:6" x14ac:dyDescent="0.25">
      <c r="B40" s="8"/>
      <c r="C40" s="8"/>
      <c r="D40" s="8"/>
      <c r="E40" s="8"/>
    </row>
    <row r="41" spans="1:6" x14ac:dyDescent="0.25">
      <c r="B41" s="8"/>
      <c r="C41" s="8"/>
      <c r="D41" s="8"/>
      <c r="E41" s="8"/>
    </row>
    <row r="42" spans="1:6" x14ac:dyDescent="0.25">
      <c r="F42" s="2"/>
    </row>
    <row r="43" spans="1:6" x14ac:dyDescent="0.25">
      <c r="E43" s="1"/>
      <c r="F43" s="1"/>
    </row>
    <row r="44" spans="1:6" x14ac:dyDescent="0.25">
      <c r="D44" s="4"/>
      <c r="E44" s="4"/>
      <c r="F44" s="4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2E4DA-106A-4FB2-81B8-7BB1DB69A786}">
  <dimension ref="A1:N26"/>
  <sheetViews>
    <sheetView zoomScale="85" zoomScaleNormal="85" workbookViewId="0">
      <selection activeCell="J9" sqref="J9"/>
    </sheetView>
  </sheetViews>
  <sheetFormatPr defaultRowHeight="13.2" x14ac:dyDescent="0.25"/>
  <sheetData>
    <row r="1" spans="1:14" ht="211.2" x14ac:dyDescent="0.25">
      <c r="A1" s="3" t="s">
        <v>0</v>
      </c>
      <c r="B1" s="3" t="s">
        <v>1</v>
      </c>
      <c r="C1" s="3" t="s">
        <v>27</v>
      </c>
      <c r="D1" s="3" t="s">
        <v>28</v>
      </c>
      <c r="E1" s="3" t="s">
        <v>29</v>
      </c>
      <c r="F1" s="3" t="s">
        <v>37</v>
      </c>
      <c r="G1" s="3" t="s">
        <v>22</v>
      </c>
      <c r="H1" s="3" t="s">
        <v>30</v>
      </c>
      <c r="I1" s="3" t="s">
        <v>31</v>
      </c>
      <c r="J1" s="3" t="s">
        <v>34</v>
      </c>
      <c r="K1" s="3" t="s">
        <v>35</v>
      </c>
      <c r="L1" s="3" t="s">
        <v>36</v>
      </c>
      <c r="M1" s="3" t="s">
        <v>2</v>
      </c>
      <c r="N1" s="3" t="s">
        <v>10</v>
      </c>
    </row>
    <row r="2" spans="1:14" x14ac:dyDescent="0.25">
      <c r="A2">
        <v>1</v>
      </c>
      <c r="B2">
        <v>2020</v>
      </c>
      <c r="C2" s="1">
        <f>'huidige energietarieven'!B7</f>
        <v>0.20876129999999998</v>
      </c>
      <c r="D2" s="1">
        <f>'huidige energietarieven'!B3</f>
        <v>5.5E-2</v>
      </c>
      <c r="E2" s="1">
        <f t="shared" ref="E2:E26" si="0">C2-D2</f>
        <v>0.15376129999999999</v>
      </c>
      <c r="F2" s="1">
        <f>C2</f>
        <v>0.20876129999999998</v>
      </c>
      <c r="G2" s="6">
        <v>1</v>
      </c>
      <c r="H2" s="1">
        <f>C2*'effect saldering aang vs werkel'!$B$13+(1-'effect saldering aang vs werkel'!$B$13)*F2</f>
        <v>0.20876129999999998</v>
      </c>
      <c r="I2" s="5">
        <f>'effect saldering aang vs werkel'!B8</f>
        <v>1575</v>
      </c>
      <c r="J2" s="5">
        <f t="shared" ref="J2:J26" si="1">H2*I2</f>
        <v>328.79904749999997</v>
      </c>
      <c r="K2">
        <f>'effect saldering aang vs werkel'!B10*12</f>
        <v>180</v>
      </c>
      <c r="L2" s="5">
        <f t="shared" ref="L2:L26" si="2">J2-K2</f>
        <v>148.79904749999997</v>
      </c>
    </row>
    <row r="3" spans="1:14" x14ac:dyDescent="0.25">
      <c r="A3">
        <f t="shared" ref="A3:A26" si="3">A2+1</f>
        <v>2</v>
      </c>
      <c r="B3">
        <f t="shared" ref="B3:B26" si="4">B2+1</f>
        <v>2021</v>
      </c>
      <c r="C3" s="1">
        <f>C2*(1+'effect saldering aang vs werkel'!$B$12)</f>
        <v>0.21084891299999997</v>
      </c>
      <c r="D3" s="1">
        <f>D2*(1+'effect saldering aang vs werkel'!$B$12)</f>
        <v>5.5550000000000002E-2</v>
      </c>
      <c r="E3" s="1">
        <f t="shared" si="0"/>
        <v>0.15529891299999998</v>
      </c>
      <c r="F3" s="1">
        <f t="shared" ref="F3:F4" si="5">C3</f>
        <v>0.21084891299999997</v>
      </c>
      <c r="G3" s="6">
        <v>1</v>
      </c>
      <c r="H3" s="1">
        <f>C3*'effect saldering aang vs werkel'!$B$13+(1-'effect saldering aang vs werkel'!$B$13)*F3</f>
        <v>0.21084891299999997</v>
      </c>
      <c r="I3" s="5">
        <f>I2-$I$2*'effect saldering aang vs werkel'!$B$9</f>
        <v>1567.125</v>
      </c>
      <c r="J3" s="5">
        <f t="shared" si="1"/>
        <v>330.42660278512494</v>
      </c>
      <c r="K3">
        <f>K2*(1+'effect saldering aang vs werkel'!$B$11)</f>
        <v>180</v>
      </c>
      <c r="L3" s="5">
        <f t="shared" si="2"/>
        <v>150.42660278512494</v>
      </c>
    </row>
    <row r="4" spans="1:14" x14ac:dyDescent="0.25">
      <c r="A4">
        <f t="shared" si="3"/>
        <v>3</v>
      </c>
      <c r="B4">
        <f t="shared" si="4"/>
        <v>2022</v>
      </c>
      <c r="C4" s="1">
        <f>C3*(1+'effect saldering aang vs werkel'!$B$12)</f>
        <v>0.21295740212999997</v>
      </c>
      <c r="D4" s="1">
        <f>D3*(1+'effect saldering aang vs werkel'!$B$12)</f>
        <v>5.6105500000000003E-2</v>
      </c>
      <c r="E4" s="1">
        <f t="shared" si="0"/>
        <v>0.15685190212999997</v>
      </c>
      <c r="F4" s="1">
        <f t="shared" si="5"/>
        <v>0.21295740212999997</v>
      </c>
      <c r="G4" s="6">
        <v>1</v>
      </c>
      <c r="H4" s="1">
        <f>C4*'effect saldering aang vs werkel'!$B$13+(1-'effect saldering aang vs werkel'!$B$13)*F4</f>
        <v>0.21295740212999997</v>
      </c>
      <c r="I4" s="5">
        <f>I3-$I$2*'effect saldering aang vs werkel'!$B$9</f>
        <v>1559.25</v>
      </c>
      <c r="J4" s="5">
        <f t="shared" si="1"/>
        <v>332.05382927120246</v>
      </c>
      <c r="K4">
        <f>K3*(1+'effect saldering aang vs werkel'!$B$11)</f>
        <v>180</v>
      </c>
      <c r="L4" s="5">
        <f t="shared" si="2"/>
        <v>152.05382927120246</v>
      </c>
    </row>
    <row r="5" spans="1:14" x14ac:dyDescent="0.25">
      <c r="A5">
        <f t="shared" si="3"/>
        <v>4</v>
      </c>
      <c r="B5">
        <f t="shared" si="4"/>
        <v>2023</v>
      </c>
      <c r="C5" s="1">
        <f>C4*(1+'effect saldering aang vs werkel'!$B$12)</f>
        <v>0.21508697615129999</v>
      </c>
      <c r="D5" s="1">
        <f>D4*(1+'effect saldering aang vs werkel'!$B$12)</f>
        <v>5.6666555E-2</v>
      </c>
      <c r="E5" s="1">
        <f t="shared" si="0"/>
        <v>0.15842042115129998</v>
      </c>
      <c r="F5" s="1">
        <f t="shared" ref="F5:F26" si="6">D5+G5*E5</f>
        <v>0.19748470713448887</v>
      </c>
      <c r="G5" s="6">
        <f>8/9</f>
        <v>0.88888888888888884</v>
      </c>
      <c r="H5" s="1">
        <f>C5*'effect saldering aang vs werkel'!$B$13+(1-'effect saldering aang vs werkel'!$B$13)*F5</f>
        <v>0.20628584164289443</v>
      </c>
      <c r="I5" s="5">
        <f>I4-$I$2*'effect saldering aang vs werkel'!$B$9</f>
        <v>1551.375</v>
      </c>
      <c r="J5" s="5">
        <f t="shared" si="1"/>
        <v>320.02669757874537</v>
      </c>
      <c r="K5">
        <f>K4*(1+'effect saldering aang vs werkel'!$B$11)</f>
        <v>180</v>
      </c>
      <c r="L5" s="5">
        <f t="shared" si="2"/>
        <v>140.02669757874537</v>
      </c>
    </row>
    <row r="6" spans="1:14" x14ac:dyDescent="0.25">
      <c r="A6">
        <f t="shared" si="3"/>
        <v>5</v>
      </c>
      <c r="B6">
        <f t="shared" si="4"/>
        <v>2024</v>
      </c>
      <c r="C6" s="1">
        <f>C5*(1+'effect saldering aang vs werkel'!$B$12)</f>
        <v>0.21723784591281298</v>
      </c>
      <c r="D6" s="1">
        <f>D5*(1+'effect saldering aang vs werkel'!$B$12)</f>
        <v>5.7233220549999998E-2</v>
      </c>
      <c r="E6" s="1">
        <f t="shared" si="0"/>
        <v>0.16000462536281299</v>
      </c>
      <c r="F6" s="1">
        <f t="shared" si="6"/>
        <v>0.18168126249885455</v>
      </c>
      <c r="G6" s="6">
        <f>7/9</f>
        <v>0.77777777777777779</v>
      </c>
      <c r="H6" s="1">
        <f>C6*'effect saldering aang vs werkel'!$B$13+(1-'effect saldering aang vs werkel'!$B$13)*F6</f>
        <v>0.19945955420583378</v>
      </c>
      <c r="I6" s="5">
        <f>I5-$I$2*'effect saldering aang vs werkel'!$B$9</f>
        <v>1543.5</v>
      </c>
      <c r="J6" s="5">
        <f t="shared" si="1"/>
        <v>307.86582191670442</v>
      </c>
      <c r="K6">
        <f>K5*(1+'effect saldering aang vs werkel'!$B$11)</f>
        <v>180</v>
      </c>
      <c r="L6" s="5">
        <f t="shared" si="2"/>
        <v>127.86582191670442</v>
      </c>
    </row>
    <row r="7" spans="1:14" x14ac:dyDescent="0.25">
      <c r="A7">
        <f t="shared" si="3"/>
        <v>6</v>
      </c>
      <c r="B7">
        <f t="shared" si="4"/>
        <v>2025</v>
      </c>
      <c r="C7" s="1">
        <f>C6*(1+'effect saldering aang vs werkel'!$B$12)</f>
        <v>0.2194102243719411</v>
      </c>
      <c r="D7" s="1">
        <f>D6*(1+'effect saldering aang vs werkel'!$B$12)</f>
        <v>5.7805552755499999E-2</v>
      </c>
      <c r="E7" s="1">
        <f t="shared" si="0"/>
        <v>0.1616046716164411</v>
      </c>
      <c r="F7" s="1">
        <f t="shared" si="6"/>
        <v>0.16554200049979406</v>
      </c>
      <c r="G7" s="6">
        <f>6/9</f>
        <v>0.66666666666666663</v>
      </c>
      <c r="H7" s="1">
        <f>C7*'effect saldering aang vs werkel'!$B$13+(1-'effect saldering aang vs werkel'!$B$13)*F7</f>
        <v>0.1924761124358676</v>
      </c>
      <c r="I7" s="5">
        <f>I6-$I$2*'effect saldering aang vs werkel'!$B$9</f>
        <v>1535.625</v>
      </c>
      <c r="J7" s="5">
        <f t="shared" si="1"/>
        <v>295.57113015932919</v>
      </c>
      <c r="K7">
        <f>K6*(1+'effect saldering aang vs werkel'!$B$11)</f>
        <v>180</v>
      </c>
      <c r="L7" s="5">
        <f t="shared" si="2"/>
        <v>115.57113015932919</v>
      </c>
    </row>
    <row r="8" spans="1:14" x14ac:dyDescent="0.25">
      <c r="A8">
        <f t="shared" si="3"/>
        <v>7</v>
      </c>
      <c r="B8">
        <f t="shared" si="4"/>
        <v>2026</v>
      </c>
      <c r="C8" s="1">
        <f>C7*(1+'effect saldering aang vs werkel'!$B$12)</f>
        <v>0.22160432661566051</v>
      </c>
      <c r="D8" s="1">
        <f>D7*(1+'effect saldering aang vs werkel'!$B$12)</f>
        <v>5.8383608283055E-2</v>
      </c>
      <c r="E8" s="1">
        <f t="shared" si="0"/>
        <v>0.16322071833260551</v>
      </c>
      <c r="F8" s="1">
        <f t="shared" si="6"/>
        <v>0.14906178513450252</v>
      </c>
      <c r="G8" s="6">
        <f>5/9</f>
        <v>0.55555555555555558</v>
      </c>
      <c r="H8" s="1">
        <f>C8*'effect saldering aang vs werkel'!$B$13+(1-'effect saldering aang vs werkel'!$B$13)*F8</f>
        <v>0.18533305587508153</v>
      </c>
      <c r="I8" s="5">
        <f>I7-$I$2*'effect saldering aang vs werkel'!$B$9</f>
        <v>1527.75</v>
      </c>
      <c r="J8" s="5">
        <f t="shared" si="1"/>
        <v>283.14257611315583</v>
      </c>
      <c r="K8">
        <f>K7*(1+'effect saldering aang vs werkel'!$B$11)</f>
        <v>180</v>
      </c>
      <c r="L8" s="5">
        <f t="shared" si="2"/>
        <v>103.14257611315583</v>
      </c>
    </row>
    <row r="9" spans="1:14" x14ac:dyDescent="0.25">
      <c r="A9">
        <f t="shared" si="3"/>
        <v>8</v>
      </c>
      <c r="B9">
        <f t="shared" si="4"/>
        <v>2027</v>
      </c>
      <c r="C9" s="1">
        <f>C8*(1+'effect saldering aang vs werkel'!$B$12)</f>
        <v>0.22382036988181711</v>
      </c>
      <c r="D9" s="1">
        <f>D8*(1+'effect saldering aang vs werkel'!$B$12)</f>
        <v>5.8967444365885552E-2</v>
      </c>
      <c r="E9" s="1">
        <f t="shared" si="0"/>
        <v>0.16485292551593156</v>
      </c>
      <c r="F9" s="1">
        <f t="shared" si="6"/>
        <v>0.13223541126185512</v>
      </c>
      <c r="G9" s="6">
        <f>4/9</f>
        <v>0.44444444444444442</v>
      </c>
      <c r="H9" s="1">
        <f>C9*'effect saldering aang vs werkel'!$B$13+(1-'effect saldering aang vs werkel'!$B$13)*F9</f>
        <v>0.1780278905718361</v>
      </c>
      <c r="I9" s="5">
        <f>I8-$I$2*'effect saldering aang vs werkel'!$B$9</f>
        <v>1519.875</v>
      </c>
      <c r="J9" s="5">
        <f t="shared" si="1"/>
        <v>270.5801401828694</v>
      </c>
      <c r="K9">
        <f>K8*(1+'effect saldering aang vs werkel'!$B$11)</f>
        <v>180</v>
      </c>
      <c r="L9" s="5">
        <f t="shared" si="2"/>
        <v>90.5801401828694</v>
      </c>
    </row>
    <row r="10" spans="1:14" x14ac:dyDescent="0.25">
      <c r="A10">
        <f t="shared" si="3"/>
        <v>9</v>
      </c>
      <c r="B10">
        <f t="shared" si="4"/>
        <v>2028</v>
      </c>
      <c r="C10" s="1">
        <f>C9*(1+'effect saldering aang vs werkel'!$B$12)</f>
        <v>0.22605857358063527</v>
      </c>
      <c r="D10" s="1">
        <f>D9*(1+'effect saldering aang vs werkel'!$B$12)</f>
        <v>5.955711880954441E-2</v>
      </c>
      <c r="E10" s="1">
        <f t="shared" si="0"/>
        <v>0.16650145477109085</v>
      </c>
      <c r="F10" s="1">
        <f t="shared" si="6"/>
        <v>0.11505760373324136</v>
      </c>
      <c r="G10" s="6">
        <f>3/9</f>
        <v>0.33333333333333331</v>
      </c>
      <c r="H10" s="1">
        <f>C10*'effect saldering aang vs werkel'!$B$13+(1-'effect saldering aang vs werkel'!$B$13)*F10</f>
        <v>0.17055808865693833</v>
      </c>
      <c r="I10" s="5">
        <f>I9-$I$2*'effect saldering aang vs werkel'!$B$9</f>
        <v>1512</v>
      </c>
      <c r="J10" s="5">
        <f t="shared" si="1"/>
        <v>257.88383004929074</v>
      </c>
      <c r="K10">
        <f>K9*(1+'effect saldering aang vs werkel'!$B$11)</f>
        <v>180</v>
      </c>
      <c r="L10" s="5">
        <f t="shared" si="2"/>
        <v>77.883830049290736</v>
      </c>
    </row>
    <row r="11" spans="1:14" x14ac:dyDescent="0.25">
      <c r="A11">
        <f t="shared" si="3"/>
        <v>10</v>
      </c>
      <c r="B11">
        <f t="shared" si="4"/>
        <v>2029</v>
      </c>
      <c r="C11" s="1">
        <f>C10*(1+'effect saldering aang vs werkel'!$B$12)</f>
        <v>0.22831915931644162</v>
      </c>
      <c r="D11" s="1">
        <f>D10*(1+'effect saldering aang vs werkel'!$B$12)</f>
        <v>6.0152689997639855E-2</v>
      </c>
      <c r="E11" s="1">
        <f t="shared" si="0"/>
        <v>0.16816646931880175</v>
      </c>
      <c r="F11" s="1">
        <f t="shared" si="6"/>
        <v>9.7523016512929134E-2</v>
      </c>
      <c r="G11" s="6">
        <f>2/9</f>
        <v>0.22222222222222221</v>
      </c>
      <c r="H11" s="1">
        <f>C11*'effect saldering aang vs werkel'!$B$13+(1-'effect saldering aang vs werkel'!$B$13)*F11</f>
        <v>0.16292108791468538</v>
      </c>
      <c r="I11" s="5">
        <f>I10-$I$2*'effect saldering aang vs werkel'!$B$9</f>
        <v>1504.125</v>
      </c>
      <c r="J11" s="5">
        <f t="shared" si="1"/>
        <v>245.05368135967615</v>
      </c>
      <c r="K11">
        <f>K10*(1+'effect saldering aang vs werkel'!$B$11)</f>
        <v>180</v>
      </c>
      <c r="L11" s="5">
        <f t="shared" si="2"/>
        <v>65.053681359676148</v>
      </c>
    </row>
    <row r="12" spans="1:14" x14ac:dyDescent="0.25">
      <c r="A12">
        <f t="shared" si="3"/>
        <v>11</v>
      </c>
      <c r="B12">
        <f t="shared" si="4"/>
        <v>2030</v>
      </c>
      <c r="C12" s="1">
        <f>C11*(1+'effect saldering aang vs werkel'!$B$12)</f>
        <v>0.23060235090960604</v>
      </c>
      <c r="D12" s="1">
        <f>D11*(1+'effect saldering aang vs werkel'!$B$12)</f>
        <v>6.0754216897616252E-2</v>
      </c>
      <c r="E12" s="1">
        <f t="shared" si="0"/>
        <v>0.16984813401198978</v>
      </c>
      <c r="F12" s="1">
        <f t="shared" si="6"/>
        <v>7.9626231787837343E-2</v>
      </c>
      <c r="G12" s="6">
        <f>1/9</f>
        <v>0.1111111111111111</v>
      </c>
      <c r="H12" s="1">
        <f>C12*'effect saldering aang vs werkel'!$B$13+(1-'effect saldering aang vs werkel'!$B$13)*F12</f>
        <v>0.15511429134872168</v>
      </c>
      <c r="I12" s="5">
        <f>I11-$I$2*'effect saldering aang vs werkel'!$B$9</f>
        <v>1496.25</v>
      </c>
      <c r="J12" s="5">
        <f t="shared" si="1"/>
        <v>232.08975843052482</v>
      </c>
      <c r="K12">
        <f>K11*(1+'effect saldering aang vs werkel'!$B$11)</f>
        <v>180</v>
      </c>
      <c r="L12" s="5">
        <f t="shared" si="2"/>
        <v>52.089758430524824</v>
      </c>
    </row>
    <row r="13" spans="1:14" x14ac:dyDescent="0.25">
      <c r="A13">
        <f t="shared" si="3"/>
        <v>12</v>
      </c>
      <c r="B13">
        <f t="shared" si="4"/>
        <v>2031</v>
      </c>
      <c r="C13" s="1">
        <f>C12*(1+'effect saldering aang vs werkel'!$B$12)</f>
        <v>0.2329083744187021</v>
      </c>
      <c r="D13" s="1">
        <f>D12*(1+'effect saldering aang vs werkel'!$B$12)</f>
        <v>6.1361759066592414E-2</v>
      </c>
      <c r="E13" s="1">
        <f t="shared" si="0"/>
        <v>0.17154661535210969</v>
      </c>
      <c r="F13" s="1">
        <f t="shared" si="6"/>
        <v>6.1361759066592414E-2</v>
      </c>
      <c r="G13" s="6">
        <v>0</v>
      </c>
      <c r="H13" s="1">
        <f>C13*'effect saldering aang vs werkel'!$B$13+(1-'effect saldering aang vs werkel'!$B$13)*F13</f>
        <v>0.14713506674264726</v>
      </c>
      <c r="I13" s="5">
        <f>I12-$I$2*'effect saldering aang vs werkel'!$B$9</f>
        <v>1488.375</v>
      </c>
      <c r="J13" s="5">
        <f t="shared" si="1"/>
        <v>218.99215496308761</v>
      </c>
      <c r="K13">
        <f>K12*(1+'effect saldering aang vs werkel'!$B$11)</f>
        <v>180</v>
      </c>
      <c r="L13" s="5">
        <f t="shared" si="2"/>
        <v>38.992154963087614</v>
      </c>
    </row>
    <row r="14" spans="1:14" x14ac:dyDescent="0.25">
      <c r="A14">
        <f t="shared" si="3"/>
        <v>13</v>
      </c>
      <c r="B14">
        <f t="shared" si="4"/>
        <v>2032</v>
      </c>
      <c r="C14" s="1">
        <f>C13*(1+'effect saldering aang vs werkel'!$B$12)</f>
        <v>0.23523745816288913</v>
      </c>
      <c r="D14" s="1">
        <f>D13*(1+'effect saldering aang vs werkel'!$B$12)</f>
        <v>6.1975376657258337E-2</v>
      </c>
      <c r="E14" s="1">
        <f t="shared" si="0"/>
        <v>0.1732620815056308</v>
      </c>
      <c r="F14" s="1">
        <f t="shared" si="6"/>
        <v>6.1975376657258337E-2</v>
      </c>
      <c r="G14" s="6">
        <v>0</v>
      </c>
      <c r="H14" s="1">
        <f>C14*'effect saldering aang vs werkel'!$B$13+(1-'effect saldering aang vs werkel'!$B$13)*F14</f>
        <v>0.14860641741007374</v>
      </c>
      <c r="I14" s="5">
        <f>I13-$I$2*'effect saldering aang vs werkel'!$B$9</f>
        <v>1480.5</v>
      </c>
      <c r="J14" s="5">
        <f t="shared" si="1"/>
        <v>220.01180097561416</v>
      </c>
      <c r="K14">
        <f>K13*(1+'effect saldering aang vs werkel'!$B$11)</f>
        <v>180</v>
      </c>
      <c r="L14" s="5">
        <f t="shared" si="2"/>
        <v>40.011800975614165</v>
      </c>
    </row>
    <row r="15" spans="1:14" x14ac:dyDescent="0.25">
      <c r="A15">
        <f t="shared" si="3"/>
        <v>14</v>
      </c>
      <c r="B15">
        <f t="shared" si="4"/>
        <v>2033</v>
      </c>
      <c r="C15" s="1">
        <f>C14*(1+'effect saldering aang vs werkel'!$B$12)</f>
        <v>0.23758983274451803</v>
      </c>
      <c r="D15" s="1">
        <f>D14*(1+'effect saldering aang vs werkel'!$B$12)</f>
        <v>6.2595130423830928E-2</v>
      </c>
      <c r="E15" s="1">
        <f t="shared" si="0"/>
        <v>0.17499470232068709</v>
      </c>
      <c r="F15" s="1">
        <f t="shared" si="6"/>
        <v>6.2595130423830928E-2</v>
      </c>
      <c r="G15" s="6">
        <v>0</v>
      </c>
      <c r="H15" s="1">
        <f>C15*'effect saldering aang vs werkel'!$B$13+(1-'effect saldering aang vs werkel'!$B$13)*F15</f>
        <v>0.15009248158417449</v>
      </c>
      <c r="I15" s="5">
        <f>I14-$I$2*'effect saldering aang vs werkel'!$B$9</f>
        <v>1472.625</v>
      </c>
      <c r="J15" s="5">
        <f t="shared" si="1"/>
        <v>221.02994069289494</v>
      </c>
      <c r="K15">
        <f>K14*(1+'effect saldering aang vs werkel'!$B$11)</f>
        <v>180</v>
      </c>
      <c r="L15" s="5">
        <f t="shared" si="2"/>
        <v>41.02994069289494</v>
      </c>
    </row>
    <row r="16" spans="1:14" x14ac:dyDescent="0.25">
      <c r="A16">
        <f t="shared" si="3"/>
        <v>15</v>
      </c>
      <c r="B16">
        <f t="shared" si="4"/>
        <v>2034</v>
      </c>
      <c r="C16" s="1">
        <f>C15*(1+'effect saldering aang vs werkel'!$B$12)</f>
        <v>0.2399657310719632</v>
      </c>
      <c r="D16" s="1">
        <f>D15*(1+'effect saldering aang vs werkel'!$B$12)</f>
        <v>6.3221081728069242E-2</v>
      </c>
      <c r="E16" s="1">
        <f t="shared" si="0"/>
        <v>0.17674464934389394</v>
      </c>
      <c r="F16" s="1">
        <f t="shared" si="6"/>
        <v>6.3221081728069242E-2</v>
      </c>
      <c r="G16" s="6">
        <v>0</v>
      </c>
      <c r="H16" s="1">
        <f>C16*'effect saldering aang vs werkel'!$B$13+(1-'effect saldering aang vs werkel'!$B$13)*F16</f>
        <v>0.15159340640001623</v>
      </c>
      <c r="I16" s="5">
        <f>I15-$I$2*'effect saldering aang vs werkel'!$B$9</f>
        <v>1464.75</v>
      </c>
      <c r="J16" s="5">
        <f t="shared" si="1"/>
        <v>222.04644202442378</v>
      </c>
      <c r="K16">
        <f>K15*(1+'effect saldering aang vs werkel'!$B$11)</f>
        <v>180</v>
      </c>
      <c r="L16" s="5">
        <f t="shared" si="2"/>
        <v>42.046442024423783</v>
      </c>
    </row>
    <row r="17" spans="1:12" x14ac:dyDescent="0.25">
      <c r="A17">
        <f t="shared" si="3"/>
        <v>16</v>
      </c>
      <c r="B17">
        <f t="shared" si="4"/>
        <v>2035</v>
      </c>
      <c r="C17" s="1">
        <f>C16*(1+'effect saldering aang vs werkel'!$B$12)</f>
        <v>0.24236538838268284</v>
      </c>
      <c r="D17" s="1">
        <f>D16*(1+'effect saldering aang vs werkel'!$B$12)</f>
        <v>6.3853292545349938E-2</v>
      </c>
      <c r="E17" s="1">
        <f t="shared" si="0"/>
        <v>0.17851209583733291</v>
      </c>
      <c r="F17" s="1">
        <f t="shared" si="6"/>
        <v>6.3853292545349938E-2</v>
      </c>
      <c r="G17" s="6">
        <v>0</v>
      </c>
      <c r="H17" s="1">
        <f>C17*'effect saldering aang vs werkel'!$B$13+(1-'effect saldering aang vs werkel'!$B$13)*F17</f>
        <v>0.15310934046401639</v>
      </c>
      <c r="I17" s="5">
        <f>I16-$I$2*'effect saldering aang vs werkel'!$B$9</f>
        <v>1456.875</v>
      </c>
      <c r="J17" s="5">
        <f t="shared" si="1"/>
        <v>223.06117038851389</v>
      </c>
      <c r="K17">
        <f>K16*(1+'effect saldering aang vs werkel'!$B$11)</f>
        <v>180</v>
      </c>
      <c r="L17" s="5">
        <f t="shared" si="2"/>
        <v>43.061170388513887</v>
      </c>
    </row>
    <row r="18" spans="1:12" x14ac:dyDescent="0.25">
      <c r="A18">
        <f t="shared" si="3"/>
        <v>17</v>
      </c>
      <c r="B18">
        <f t="shared" si="4"/>
        <v>2036</v>
      </c>
      <c r="C18" s="1">
        <f>C17*(1+'effect saldering aang vs werkel'!$B$12)</f>
        <v>0.24478904226650969</v>
      </c>
      <c r="D18" s="1">
        <f>D17*(1+'effect saldering aang vs werkel'!$B$12)</f>
        <v>6.4491825470803441E-2</v>
      </c>
      <c r="E18" s="1">
        <f t="shared" si="0"/>
        <v>0.18029721679570626</v>
      </c>
      <c r="F18" s="1">
        <f t="shared" si="6"/>
        <v>6.4491825470803441E-2</v>
      </c>
      <c r="G18" s="6">
        <v>0</v>
      </c>
      <c r="H18" s="1">
        <f>C18*'effect saldering aang vs werkel'!$B$13+(1-'effect saldering aang vs werkel'!$B$13)*F18</f>
        <v>0.15464043386865656</v>
      </c>
      <c r="I18" s="5">
        <f>I17-$I$2*'effect saldering aang vs werkel'!$B$9</f>
        <v>1449</v>
      </c>
      <c r="J18" s="5">
        <f t="shared" si="1"/>
        <v>224.07398867568335</v>
      </c>
      <c r="K18">
        <f>K17*(1+'effect saldering aang vs werkel'!$B$11)</f>
        <v>180</v>
      </c>
      <c r="L18" s="5">
        <f t="shared" si="2"/>
        <v>44.073988675683353</v>
      </c>
    </row>
    <row r="19" spans="1:12" x14ac:dyDescent="0.25">
      <c r="A19">
        <f t="shared" si="3"/>
        <v>18</v>
      </c>
      <c r="B19">
        <f t="shared" si="4"/>
        <v>2037</v>
      </c>
      <c r="C19" s="1">
        <f>C18*(1+'effect saldering aang vs werkel'!$B$12)</f>
        <v>0.24723693268917479</v>
      </c>
      <c r="D19" s="1">
        <f>D18*(1+'effect saldering aang vs werkel'!$B$12)</f>
        <v>6.5136743725511481E-2</v>
      </c>
      <c r="E19" s="1">
        <f t="shared" si="0"/>
        <v>0.18210018896366331</v>
      </c>
      <c r="F19" s="1">
        <f t="shared" si="6"/>
        <v>6.5136743725511481E-2</v>
      </c>
      <c r="G19" s="6">
        <v>0</v>
      </c>
      <c r="H19" s="1">
        <f>C19*'effect saldering aang vs werkel'!$B$13+(1-'effect saldering aang vs werkel'!$B$13)*F19</f>
        <v>0.15618683820734314</v>
      </c>
      <c r="I19" s="5">
        <f>I18-$I$2*'effect saldering aang vs werkel'!$B$9</f>
        <v>1441.125</v>
      </c>
      <c r="J19" s="5">
        <f t="shared" si="1"/>
        <v>225.08475721155739</v>
      </c>
      <c r="K19">
        <f>K18*(1+'effect saldering aang vs werkel'!$B$11)</f>
        <v>180</v>
      </c>
      <c r="L19" s="5">
        <f t="shared" si="2"/>
        <v>45.084757211557388</v>
      </c>
    </row>
    <row r="20" spans="1:12" x14ac:dyDescent="0.25">
      <c r="A20">
        <f t="shared" si="3"/>
        <v>19</v>
      </c>
      <c r="B20">
        <f t="shared" si="4"/>
        <v>2038</v>
      </c>
      <c r="C20" s="1">
        <f>C19*(1+'effect saldering aang vs werkel'!$B$12)</f>
        <v>0.24970930201606653</v>
      </c>
      <c r="D20" s="1">
        <f>D19*(1+'effect saldering aang vs werkel'!$B$12)</f>
        <v>6.5788111162766602E-2</v>
      </c>
      <c r="E20" s="1">
        <f t="shared" si="0"/>
        <v>0.18392119085329994</v>
      </c>
      <c r="F20" s="1">
        <f t="shared" si="6"/>
        <v>6.5788111162766602E-2</v>
      </c>
      <c r="G20" s="6">
        <v>0</v>
      </c>
      <c r="H20" s="1">
        <f>C20*'effect saldering aang vs werkel'!$B$13+(1-'effect saldering aang vs werkel'!$B$13)*F20</f>
        <v>0.15774870658941656</v>
      </c>
      <c r="I20" s="5">
        <f>I19-$I$2*'effect saldering aang vs werkel'!$B$9</f>
        <v>1433.25</v>
      </c>
      <c r="J20" s="5">
        <f t="shared" si="1"/>
        <v>226.09333371928128</v>
      </c>
      <c r="K20">
        <f>K19*(1+'effect saldering aang vs werkel'!$B$11)</f>
        <v>180</v>
      </c>
      <c r="L20" s="5">
        <f t="shared" si="2"/>
        <v>46.093333719281276</v>
      </c>
    </row>
    <row r="21" spans="1:12" x14ac:dyDescent="0.25">
      <c r="A21">
        <f t="shared" si="3"/>
        <v>20</v>
      </c>
      <c r="B21">
        <f t="shared" si="4"/>
        <v>2039</v>
      </c>
      <c r="C21" s="1">
        <f>C20*(1+'effect saldering aang vs werkel'!$B$12)</f>
        <v>0.25220639503622722</v>
      </c>
      <c r="D21" s="1">
        <f>D20*(1+'effect saldering aang vs werkel'!$B$12)</f>
        <v>6.6445992274394267E-2</v>
      </c>
      <c r="E21" s="1">
        <f t="shared" si="0"/>
        <v>0.18576040276183295</v>
      </c>
      <c r="F21" s="1">
        <f t="shared" si="6"/>
        <v>6.6445992274394267E-2</v>
      </c>
      <c r="G21" s="6">
        <v>0</v>
      </c>
      <c r="H21" s="1">
        <f>C21*'effect saldering aang vs werkel'!$B$13+(1-'effect saldering aang vs werkel'!$B$13)*F21</f>
        <v>0.15932619365531075</v>
      </c>
      <c r="I21" s="5">
        <f>I20-$I$2*'effect saldering aang vs werkel'!$B$9</f>
        <v>1425.375</v>
      </c>
      <c r="J21" s="5">
        <f t="shared" si="1"/>
        <v>227.09957328143858</v>
      </c>
      <c r="K21">
        <f>K20*(1+'effect saldering aang vs werkel'!$B$11)</f>
        <v>180</v>
      </c>
      <c r="L21" s="5">
        <f t="shared" si="2"/>
        <v>47.09957328143858</v>
      </c>
    </row>
    <row r="22" spans="1:12" x14ac:dyDescent="0.25">
      <c r="A22">
        <f t="shared" si="3"/>
        <v>21</v>
      </c>
      <c r="B22">
        <f t="shared" si="4"/>
        <v>2040</v>
      </c>
      <c r="C22" s="1">
        <f>C21*(1+'effect saldering aang vs werkel'!$B$12)</f>
        <v>0.25472845898658947</v>
      </c>
      <c r="D22" s="1">
        <f>D21*(1+'effect saldering aang vs werkel'!$B$12)</f>
        <v>6.711045219713821E-2</v>
      </c>
      <c r="E22" s="1">
        <f t="shared" si="0"/>
        <v>0.18761800678945126</v>
      </c>
      <c r="F22" s="1">
        <f t="shared" si="6"/>
        <v>6.711045219713821E-2</v>
      </c>
      <c r="G22" s="6">
        <v>0</v>
      </c>
      <c r="H22" s="1">
        <f>C22*'effect saldering aang vs werkel'!$B$13+(1-'effect saldering aang vs werkel'!$B$13)*F22</f>
        <v>0.16091945559186382</v>
      </c>
      <c r="I22" s="5">
        <f>I21-$I$2*'effect saldering aang vs werkel'!$B$9</f>
        <v>1417.5</v>
      </c>
      <c r="J22" s="5">
        <f t="shared" si="1"/>
        <v>228.10332830146697</v>
      </c>
      <c r="K22">
        <f>K21*(1+'effect saldering aang vs werkel'!$B$11)</f>
        <v>180</v>
      </c>
      <c r="L22" s="5">
        <f t="shared" si="2"/>
        <v>48.103328301466973</v>
      </c>
    </row>
    <row r="23" spans="1:12" x14ac:dyDescent="0.25">
      <c r="A23">
        <f t="shared" si="3"/>
        <v>22</v>
      </c>
      <c r="B23">
        <f t="shared" si="4"/>
        <v>2041</v>
      </c>
      <c r="C23" s="1">
        <f>C22*(1+'effect saldering aang vs werkel'!$B$12)</f>
        <v>0.25727574357645538</v>
      </c>
      <c r="D23" s="1">
        <f>D22*(1+'effect saldering aang vs werkel'!$B$12)</f>
        <v>6.7781556719109598E-2</v>
      </c>
      <c r="E23" s="1">
        <f t="shared" si="0"/>
        <v>0.18949418685734579</v>
      </c>
      <c r="F23" s="1">
        <f t="shared" si="6"/>
        <v>6.7781556719109598E-2</v>
      </c>
      <c r="G23" s="6">
        <v>0</v>
      </c>
      <c r="H23" s="1">
        <f>C23*'effect saldering aang vs werkel'!$B$13+(1-'effect saldering aang vs werkel'!$B$13)*F23</f>
        <v>0.16252865014778251</v>
      </c>
      <c r="I23" s="5">
        <f>I22-$I$2*'effect saldering aang vs werkel'!$B$9</f>
        <v>1409.625</v>
      </c>
      <c r="J23" s="5">
        <f t="shared" si="1"/>
        <v>229.10444846456792</v>
      </c>
      <c r="K23">
        <f>K22*(1+'effect saldering aang vs werkel'!$B$11)</f>
        <v>180</v>
      </c>
      <c r="L23" s="5">
        <f t="shared" si="2"/>
        <v>49.104448464567923</v>
      </c>
    </row>
    <row r="24" spans="1:12" x14ac:dyDescent="0.25">
      <c r="A24">
        <f t="shared" si="3"/>
        <v>23</v>
      </c>
      <c r="B24">
        <f t="shared" si="4"/>
        <v>2042</v>
      </c>
      <c r="C24" s="1">
        <f>C23*(1+'effect saldering aang vs werkel'!$B$12)</f>
        <v>0.25984850101221996</v>
      </c>
      <c r="D24" s="1">
        <f>D23*(1+'effect saldering aang vs werkel'!$B$12)</f>
        <v>6.8459372286300696E-2</v>
      </c>
      <c r="E24" s="1">
        <f t="shared" si="0"/>
        <v>0.19138912872591926</v>
      </c>
      <c r="F24" s="1">
        <f t="shared" si="6"/>
        <v>6.8459372286300696E-2</v>
      </c>
      <c r="G24" s="6">
        <v>0</v>
      </c>
      <c r="H24" s="1">
        <f>C24*'effect saldering aang vs werkel'!$B$13+(1-'effect saldering aang vs werkel'!$B$13)*F24</f>
        <v>0.16415393664926031</v>
      </c>
      <c r="I24" s="5">
        <f>I23-$I$2*'effect saldering aang vs werkel'!$B$9</f>
        <v>1401.75</v>
      </c>
      <c r="J24" s="5">
        <f t="shared" si="1"/>
        <v>230.10278069810064</v>
      </c>
      <c r="K24">
        <f>K23*(1+'effect saldering aang vs werkel'!$B$11)</f>
        <v>180</v>
      </c>
      <c r="L24" s="5">
        <f t="shared" si="2"/>
        <v>50.102780698100645</v>
      </c>
    </row>
    <row r="25" spans="1:12" x14ac:dyDescent="0.25">
      <c r="A25">
        <f t="shared" si="3"/>
        <v>24</v>
      </c>
      <c r="B25">
        <f t="shared" si="4"/>
        <v>2043</v>
      </c>
      <c r="C25" s="1">
        <f>C24*(1+'effect saldering aang vs werkel'!$B$12)</f>
        <v>0.26244698602234218</v>
      </c>
      <c r="D25" s="1">
        <f>D24*(1+'effect saldering aang vs werkel'!$B$12)</f>
        <v>6.9143966009163699E-2</v>
      </c>
      <c r="E25" s="1">
        <f t="shared" si="0"/>
        <v>0.19330302001317848</v>
      </c>
      <c r="F25" s="1">
        <f t="shared" si="6"/>
        <v>6.9143966009163699E-2</v>
      </c>
      <c r="G25" s="6">
        <v>0</v>
      </c>
      <c r="H25" s="1">
        <f>C25*'effect saldering aang vs werkel'!$B$13+(1-'effect saldering aang vs werkel'!$B$13)*F25</f>
        <v>0.16579547601575295</v>
      </c>
      <c r="I25" s="5">
        <f>I24-$I$2*'effect saldering aang vs werkel'!$B$9</f>
        <v>1393.875</v>
      </c>
      <c r="J25" s="5">
        <f t="shared" si="1"/>
        <v>231.09816913145764</v>
      </c>
      <c r="K25">
        <f>K24*(1+'effect saldering aang vs werkel'!$B$11)</f>
        <v>180</v>
      </c>
      <c r="L25" s="5">
        <f t="shared" si="2"/>
        <v>51.098169131457638</v>
      </c>
    </row>
    <row r="26" spans="1:12" x14ac:dyDescent="0.25">
      <c r="A26">
        <f t="shared" si="3"/>
        <v>25</v>
      </c>
      <c r="B26">
        <f t="shared" si="4"/>
        <v>2044</v>
      </c>
      <c r="C26" s="1">
        <f>C25*(1+'effect saldering aang vs werkel'!$B$12)</f>
        <v>0.26507145588256559</v>
      </c>
      <c r="D26" s="1">
        <f>D25*(1+'effect saldering aang vs werkel'!$B$12)</f>
        <v>6.9835405669255335E-2</v>
      </c>
      <c r="E26" s="1">
        <f t="shared" si="0"/>
        <v>0.19523605021331025</v>
      </c>
      <c r="F26" s="1">
        <f t="shared" si="6"/>
        <v>6.9835405669255335E-2</v>
      </c>
      <c r="G26" s="6">
        <v>0</v>
      </c>
      <c r="H26" s="1">
        <f>C26*'effect saldering aang vs werkel'!$B$13+(1-'effect saldering aang vs werkel'!$B$13)*F26</f>
        <v>0.16745343077591046</v>
      </c>
      <c r="I26" s="5">
        <f>I25-$I$2*'effect saldering aang vs werkel'!$B$9</f>
        <v>1386</v>
      </c>
      <c r="J26" s="5">
        <f t="shared" si="1"/>
        <v>232.09045505541189</v>
      </c>
      <c r="K26">
        <f>K25*(1+'effect saldering aang vs werkel'!$B$11)</f>
        <v>180</v>
      </c>
      <c r="L26" s="5">
        <f t="shared" si="2"/>
        <v>52.090455055411894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AC933-233F-4139-9721-DFC65B6B6A57}">
  <dimension ref="A1:B10"/>
  <sheetViews>
    <sheetView workbookViewId="0">
      <selection activeCell="A10" sqref="A10"/>
    </sheetView>
  </sheetViews>
  <sheetFormatPr defaultRowHeight="13.2" x14ac:dyDescent="0.25"/>
  <cols>
    <col min="1" max="1" width="45" customWidth="1"/>
  </cols>
  <sheetData>
    <row r="1" spans="1:2" x14ac:dyDescent="0.25">
      <c r="A1" t="s">
        <v>3</v>
      </c>
      <c r="B1" t="s">
        <v>4</v>
      </c>
    </row>
    <row r="3" spans="1:2" x14ac:dyDescent="0.25">
      <c r="A3" t="s">
        <v>5</v>
      </c>
      <c r="B3">
        <v>5.5E-2</v>
      </c>
    </row>
    <row r="4" spans="1:2" x14ac:dyDescent="0.25">
      <c r="A4" t="s">
        <v>6</v>
      </c>
      <c r="B4">
        <v>9.8629999999999995E-2</v>
      </c>
    </row>
    <row r="5" spans="1:2" x14ac:dyDescent="0.25">
      <c r="A5" t="s">
        <v>7</v>
      </c>
      <c r="B5">
        <v>1.89E-2</v>
      </c>
    </row>
    <row r="6" spans="1:2" x14ac:dyDescent="0.25">
      <c r="A6" t="s">
        <v>8</v>
      </c>
      <c r="B6">
        <f>SUM(B3:B5)</f>
        <v>0.17252999999999999</v>
      </c>
    </row>
    <row r="7" spans="1:2" x14ac:dyDescent="0.25">
      <c r="A7" t="s">
        <v>9</v>
      </c>
      <c r="B7">
        <f>B6*1.21</f>
        <v>0.20876129999999998</v>
      </c>
    </row>
    <row r="9" spans="1:2" x14ac:dyDescent="0.25">
      <c r="A9" t="s">
        <v>12</v>
      </c>
      <c r="B9">
        <f>(B4+B5)*1.21</f>
        <v>0.14221129999999998</v>
      </c>
    </row>
    <row r="10" spans="1:2" x14ac:dyDescent="0.25">
      <c r="A10" t="s">
        <v>11</v>
      </c>
      <c r="B10">
        <f>B9/9</f>
        <v>1.5801255555555553E-2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effect saldering aang vs werkel</vt:lpstr>
      <vt:lpstr>rekensheet</vt:lpstr>
      <vt:lpstr>huidige energietarieven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Wasfi, Sanaa</dc:creator>
  <cp:lastModifiedBy>Maarten Corpeleijn</cp:lastModifiedBy>
  <dcterms:created xsi:type="dcterms:W3CDTF">2018-12-19T16:12:13Z</dcterms:created>
  <dcterms:modified xsi:type="dcterms:W3CDTF">2019-05-20T15:15:58Z</dcterms:modified>
</cp:coreProperties>
</file>