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0_intern\00_zonnighuren publieke info\fiscaal btw eia stroomtarieven postcoderoos\salderen toekomst\"/>
    </mc:Choice>
  </mc:AlternateContent>
  <bookViews>
    <workbookView xWindow="0" yWindow="0" windowWidth="13236" windowHeight="6588" xr2:uid="{0B2BE9AD-45DF-4A68-8611-60878DBC494C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V3" i="1" l="1"/>
  <c r="Q4" i="1"/>
  <c r="V4" i="1" s="1"/>
  <c r="G9" i="1"/>
  <c r="Q5" i="1"/>
  <c r="P4" i="1"/>
  <c r="R4" i="1" s="1"/>
  <c r="T4" i="1" s="1"/>
  <c r="U4" i="1" s="1"/>
  <c r="O5" i="1"/>
  <c r="P5" i="1" s="1"/>
  <c r="P3" i="1"/>
  <c r="R3" i="1" s="1"/>
  <c r="S3" i="1" s="1"/>
  <c r="H9" i="1" s="1"/>
  <c r="N5" i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N22" i="1" s="1"/>
  <c r="M16" i="1"/>
  <c r="M17" i="1" s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N17" i="1" l="1"/>
  <c r="N6" i="1"/>
  <c r="N11" i="1"/>
  <c r="N10" i="1"/>
  <c r="N12" i="1"/>
  <c r="N14" i="1"/>
  <c r="N13" i="1"/>
  <c r="N9" i="1"/>
  <c r="N16" i="1"/>
  <c r="N8" i="1"/>
  <c r="N15" i="1"/>
  <c r="N7" i="1"/>
  <c r="Q6" i="1"/>
  <c r="V5" i="1"/>
  <c r="R5" i="1"/>
  <c r="T3" i="1"/>
  <c r="U3" i="1" s="1"/>
  <c r="S4" i="1"/>
  <c r="O6" i="1"/>
  <c r="M18" i="1"/>
  <c r="Q7" i="1" l="1"/>
  <c r="V6" i="1"/>
  <c r="T5" i="1"/>
  <c r="U5" i="1" s="1"/>
  <c r="S5" i="1"/>
  <c r="O7" i="1"/>
  <c r="P6" i="1"/>
  <c r="R6" i="1" s="1"/>
  <c r="S6" i="1" s="1"/>
  <c r="M19" i="1"/>
  <c r="N18" i="1"/>
  <c r="Q8" i="1" l="1"/>
  <c r="V7" i="1"/>
  <c r="T6" i="1"/>
  <c r="U6" i="1" s="1"/>
  <c r="O8" i="1"/>
  <c r="P7" i="1"/>
  <c r="R7" i="1" s="1"/>
  <c r="S7" i="1" s="1"/>
  <c r="M20" i="1"/>
  <c r="N19" i="1"/>
  <c r="Q9" i="1" l="1"/>
  <c r="V8" i="1"/>
  <c r="T7" i="1"/>
  <c r="U7" i="1" s="1"/>
  <c r="O9" i="1"/>
  <c r="P8" i="1"/>
  <c r="R8" i="1" s="1"/>
  <c r="S8" i="1" s="1"/>
  <c r="M21" i="1"/>
  <c r="N21" i="1" s="1"/>
  <c r="N20" i="1"/>
  <c r="Q10" i="1" l="1"/>
  <c r="V9" i="1"/>
  <c r="T8" i="1"/>
  <c r="U8" i="1" s="1"/>
  <c r="O10" i="1"/>
  <c r="P9" i="1"/>
  <c r="R9" i="1" s="1"/>
  <c r="S9" i="1" s="1"/>
  <c r="Q11" i="1" l="1"/>
  <c r="V10" i="1"/>
  <c r="T9" i="1"/>
  <c r="U9" i="1" s="1"/>
  <c r="O11" i="1"/>
  <c r="P10" i="1"/>
  <c r="R10" i="1" s="1"/>
  <c r="S10" i="1" s="1"/>
  <c r="Q12" i="1" l="1"/>
  <c r="V11" i="1"/>
  <c r="T10" i="1"/>
  <c r="U10" i="1" s="1"/>
  <c r="O12" i="1"/>
  <c r="P11" i="1"/>
  <c r="R11" i="1" s="1"/>
  <c r="S11" i="1" s="1"/>
  <c r="Q13" i="1" l="1"/>
  <c r="V12" i="1"/>
  <c r="T11" i="1"/>
  <c r="U11" i="1" s="1"/>
  <c r="O13" i="1"/>
  <c r="P12" i="1"/>
  <c r="R12" i="1" s="1"/>
  <c r="S12" i="1" s="1"/>
  <c r="Q14" i="1" l="1"/>
  <c r="V13" i="1"/>
  <c r="T12" i="1"/>
  <c r="U12" i="1" s="1"/>
  <c r="O14" i="1"/>
  <c r="P13" i="1"/>
  <c r="R13" i="1" s="1"/>
  <c r="Q15" i="1" l="1"/>
  <c r="V14" i="1"/>
  <c r="S13" i="1"/>
  <c r="T13" i="1"/>
  <c r="U13" i="1" s="1"/>
  <c r="O15" i="1"/>
  <c r="P14" i="1"/>
  <c r="R14" i="1" s="1"/>
  <c r="Q16" i="1" l="1"/>
  <c r="V15" i="1"/>
  <c r="S14" i="1"/>
  <c r="T14" i="1"/>
  <c r="U14" i="1" s="1"/>
  <c r="O16" i="1"/>
  <c r="P15" i="1"/>
  <c r="R15" i="1" s="1"/>
  <c r="Q17" i="1" l="1"/>
  <c r="V16" i="1"/>
  <c r="S15" i="1"/>
  <c r="T15" i="1"/>
  <c r="U15" i="1" s="1"/>
  <c r="O17" i="1"/>
  <c r="P16" i="1"/>
  <c r="R16" i="1" s="1"/>
  <c r="Q18" i="1" l="1"/>
  <c r="V17" i="1"/>
  <c r="S16" i="1"/>
  <c r="T16" i="1"/>
  <c r="U16" i="1" s="1"/>
  <c r="O18" i="1"/>
  <c r="P17" i="1"/>
  <c r="R17" i="1" s="1"/>
  <c r="Q19" i="1" l="1"/>
  <c r="V18" i="1"/>
  <c r="S17" i="1"/>
  <c r="T17" i="1"/>
  <c r="U17" i="1" s="1"/>
  <c r="O19" i="1"/>
  <c r="P18" i="1"/>
  <c r="R18" i="1" s="1"/>
  <c r="Q20" i="1" l="1"/>
  <c r="V19" i="1"/>
  <c r="S18" i="1"/>
  <c r="T18" i="1"/>
  <c r="U18" i="1" s="1"/>
  <c r="O20" i="1"/>
  <c r="P19" i="1"/>
  <c r="R19" i="1" s="1"/>
  <c r="Q21" i="1" l="1"/>
  <c r="V20" i="1"/>
  <c r="S19" i="1"/>
  <c r="T19" i="1"/>
  <c r="U19" i="1" s="1"/>
  <c r="O21" i="1"/>
  <c r="P20" i="1"/>
  <c r="R20" i="1" s="1"/>
  <c r="Q22" i="1" l="1"/>
  <c r="V21" i="1"/>
  <c r="S20" i="1"/>
  <c r="T20" i="1"/>
  <c r="U20" i="1" s="1"/>
  <c r="O22" i="1"/>
  <c r="P22" i="1" s="1"/>
  <c r="R22" i="1" s="1"/>
  <c r="P21" i="1"/>
  <c r="R21" i="1" s="1"/>
  <c r="V22" i="1" l="1"/>
  <c r="G12" i="1" s="1"/>
  <c r="G10" i="1"/>
  <c r="G11" i="1"/>
  <c r="S21" i="1"/>
  <c r="T21" i="1"/>
  <c r="U21" i="1" s="1"/>
  <c r="S22" i="1"/>
  <c r="T22" i="1"/>
  <c r="U22" i="1" s="1"/>
  <c r="H10" i="1" l="1"/>
  <c r="H12" i="1"/>
  <c r="H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Maarten Corpeleijn</author>
  </authors>
  <commentList>
    <comment ref="O4" authorId="0" shapeId="0" xr:uid="{ECD78A77-180E-4EBC-91E6-E89D6B3C0933}">
      <text>
        <r>
          <rPr>
            <b/>
            <sz val="9"/>
            <color indexed="81"/>
            <rFont val="Tahoma"/>
            <family val="2"/>
          </rPr>
          <t>Maarten Corpeleijn:</t>
        </r>
        <r>
          <rPr>
            <sz val="9"/>
            <color indexed="81"/>
            <rFont val="Tahoma"/>
            <family val="2"/>
          </rPr>
          <t xml:space="preserve">
door wijziging elektriciteitsbelasting 1 cent lager (zie regeerakkoord)</t>
        </r>
      </text>
    </comment>
  </commentList>
</comments>
</file>

<file path=xl/sharedStrings.xml><?xml version="1.0" encoding="utf-8"?>
<sst xmlns="http://schemas.openxmlformats.org/spreadsheetml/2006/main" count="49" uniqueCount="42">
  <si>
    <t>jaar</t>
  </si>
  <si>
    <t>nr jaar</t>
  </si>
  <si>
    <t>nvt</t>
  </si>
  <si>
    <t>besparing op direct verbruikte stroom stroomprijs (euro per kwh)</t>
  </si>
  <si>
    <t>totale besparing (euro per kwh)</t>
  </si>
  <si>
    <t>bijdrage huurder</t>
  </si>
  <si>
    <t>voordeel huurder</t>
  </si>
  <si>
    <t>inkooptarief stroom ex btw [geschat]</t>
  </si>
  <si>
    <t>teruglevertarief voorstel in ecn- beleidsstudie ex btw https://www.zonnighuren.nl/wp-content/uploads/2017/07/ecn.jpg</t>
  </si>
  <si>
    <t>teruglevertarief totaal, inclusief btw (euro/kwh)</t>
  </si>
  <si>
    <t>bijdrage huurder t.o.v. totale opbrengst</t>
  </si>
  <si>
    <t>opbrengst kwh per jaar(gemiddeld)</t>
  </si>
  <si>
    <t>opbrengst totaal (euro per jaar)</t>
  </si>
  <si>
    <t>voordeel huurder (euro per jaar)</t>
  </si>
  <si>
    <t>b</t>
  </si>
  <si>
    <t>Door: Maarten Corpeleijn, onafhankelijk adviseur www.zonnighuren.nl</t>
  </si>
  <si>
    <t>Hoeveel voordeel heeft de huurder van zonnepanelen als de salderingsregeling wegvalt?</t>
  </si>
  <si>
    <t>Aan deze excelsheet zijn geen rechten te ontlenen.</t>
  </si>
  <si>
    <t>Input</t>
  </si>
  <si>
    <t>Welk bedrag vraagt de corporatie voor de panelen?</t>
  </si>
  <si>
    <t>Stijgt dit bedrag jaarlijks als indexering, zo ja hoeveel?</t>
  </si>
  <si>
    <t>Aangenomen jaarlijkse kostenstijging energie</t>
  </si>
  <si>
    <t>Opbrengst van het systeem verwacht in jaar 1</t>
  </si>
  <si>
    <t>Terugloop opbrengst per jaar</t>
  </si>
  <si>
    <t>kWh per jaar</t>
  </si>
  <si>
    <t>per jaar</t>
  </si>
  <si>
    <t xml:space="preserve">per jaar </t>
  </si>
  <si>
    <t>Geel gearceerde cellen vult u in.</t>
  </si>
  <si>
    <t>Grijs gearceelde cellen zijn aannames hoe de terugleververgoeding eruit zal zien..</t>
  </si>
  <si>
    <t>Het voordeel in jaar 1 is</t>
  </si>
  <si>
    <t>Het voordeel in jaar 20 is</t>
  </si>
  <si>
    <t>Het gemiddelde voordeel is</t>
  </si>
  <si>
    <t>voordeel huurder zonder wegvallen saldering</t>
  </si>
  <si>
    <t>zonder wegvallen saldering</t>
  </si>
  <si>
    <t>met wegvallen saldering</t>
  </si>
  <si>
    <t>Versie 1, 1 november 2017</t>
  </si>
  <si>
    <t xml:space="preserve">teruglevering. </t>
  </si>
  <si>
    <t>Percentage teruglevering van stroom op jaarbasis **</t>
  </si>
  <si>
    <t>** U kunt op http://pvspeicher.htw-berlin.de/unabhaengigkeitsrechner/# een inschatting maken.</t>
  </si>
  <si>
    <t>Uitkomsten voor huurder</t>
  </si>
  <si>
    <t xml:space="preserve">Netto contant 3% rente is het voordeel </t>
  </si>
  <si>
    <t>Als de bijdrage via de huur gaat, en huurder heeft huurtoeslag; meer voordeel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</si>
</sst>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\ #,##0;[Red]&quot;€&quot;\ \-#,##0"/>
    <numFmt numFmtId="43" formatCode="_ * #,##0.00_ ;_ * \-#,##0.00_ ;_ * &quot;-&quot;??_ ;_ @_ "/>
    <numFmt numFmtId="164" formatCode="0.000"/>
    <numFmt numFmtId="165" formatCode="_ * #,##0_ ;_ * \-#,##0_ ;_ * &quot;-&quot;??_ ;_ @_ "/>
    <numFmt numFmtId="166" formatCode="_ * #,##0.000_ ;_ * \-#,##0.000_ ;_ * &quot;-&quot;??_ ;_ @_ "/>
    <numFmt numFmtId="167" formatCode="_ [$€-413]\ * #,##0_ ;_ [$€-413]\ * \-#,##0_ ;_ [$€-413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/>
    <xf numFmtId="0" fontId="0" fillId="0" borderId="0" xfId="0" applyBorder="1"/>
    <xf numFmtId="167" fontId="0" fillId="3" borderId="0" xfId="0" applyNumberFormat="1" applyFill="1" applyBorder="1"/>
    <xf numFmtId="0" fontId="0" fillId="0" borderId="5" xfId="0" applyBorder="1"/>
    <xf numFmtId="9" fontId="0" fillId="3" borderId="0" xfId="0" applyNumberFormat="1" applyFill="1" applyBorder="1"/>
    <xf numFmtId="10" fontId="0" fillId="3" borderId="0" xfId="0" applyNumberFormat="1" applyFill="1" applyBorder="1"/>
    <xf numFmtId="165" fontId="0" fillId="3" borderId="0" xfId="1" applyNumberFormat="1" applyFont="1" applyFill="1" applyBorder="1"/>
    <xf numFmtId="0" fontId="0" fillId="0" borderId="6" xfId="0" applyBorder="1"/>
    <xf numFmtId="0" fontId="0" fillId="0" borderId="7" xfId="0" applyBorder="1"/>
    <xf numFmtId="10" fontId="0" fillId="0" borderId="0" xfId="0" applyNumberFormat="1" applyBorder="1"/>
    <xf numFmtId="0" fontId="0" fillId="0" borderId="8" xfId="0" applyBorder="1"/>
    <xf numFmtId="165" fontId="0" fillId="0" borderId="0" xfId="0" applyNumberFormat="1" applyBorder="1"/>
    <xf numFmtId="165" fontId="0" fillId="0" borderId="5" xfId="0" applyNumberFormat="1" applyBorder="1"/>
    <xf numFmtId="10" fontId="0" fillId="0" borderId="4" xfId="0" applyNumberFormat="1" applyBorder="1"/>
    <xf numFmtId="6" fontId="0" fillId="0" borderId="0" xfId="0" applyNumberFormat="1" applyBorder="1"/>
    <xf numFmtId="6" fontId="0" fillId="0" borderId="5" xfId="0" applyNumberFormat="1" applyBorder="1"/>
    <xf numFmtId="166" fontId="0" fillId="0" borderId="0" xfId="1" applyNumberFormat="1" applyFont="1" applyBorder="1"/>
    <xf numFmtId="165" fontId="0" fillId="0" borderId="0" xfId="1" applyNumberFormat="1" applyFont="1" applyBorder="1"/>
    <xf numFmtId="9" fontId="0" fillId="0" borderId="0" xfId="2" applyFont="1" applyBorder="1"/>
    <xf numFmtId="9" fontId="0" fillId="0" borderId="0" xfId="0" applyNumberFormat="1" applyBorder="1"/>
    <xf numFmtId="1" fontId="0" fillId="0" borderId="0" xfId="0" applyNumberFormat="1" applyBorder="1"/>
    <xf numFmtId="164" fontId="0" fillId="2" borderId="0" xfId="0" applyNumberFormat="1" applyFill="1" applyBorder="1"/>
    <xf numFmtId="0" fontId="0" fillId="2" borderId="0" xfId="0" applyFill="1" applyBorder="1"/>
    <xf numFmtId="2" fontId="0" fillId="0" borderId="0" xfId="0" applyNumberFormat="1" applyBorder="1"/>
    <xf numFmtId="1" fontId="0" fillId="0" borderId="7" xfId="0" applyNumberFormat="1" applyBorder="1"/>
    <xf numFmtId="164" fontId="0" fillId="2" borderId="7" xfId="0" applyNumberFormat="1" applyFill="1" applyBorder="1"/>
    <xf numFmtId="2" fontId="0" fillId="0" borderId="7" xfId="0" applyNumberFormat="1" applyBorder="1"/>
    <xf numFmtId="166" fontId="0" fillId="0" borderId="7" xfId="1" applyNumberFormat="1" applyFont="1" applyBorder="1"/>
    <xf numFmtId="165" fontId="0" fillId="0" borderId="7" xfId="1" applyNumberFormat="1" applyFont="1" applyBorder="1"/>
    <xf numFmtId="165" fontId="0" fillId="0" borderId="7" xfId="0" applyNumberFormat="1" applyBorder="1"/>
    <xf numFmtId="9" fontId="0" fillId="0" borderId="7" xfId="2" applyFont="1" applyBorder="1"/>
    <xf numFmtId="9" fontId="0" fillId="0" borderId="7" xfId="0" applyNumberFormat="1" applyBorder="1"/>
    <xf numFmtId="165" fontId="0" fillId="0" borderId="8" xfId="0" applyNumberFormat="1" applyBorder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vertic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4AB05-6B87-441E-A099-EC8E846CB103}">
  <dimension ref="A1:X22"/>
  <sheetViews>
    <sheetView tabSelected="1" zoomScale="70" zoomScaleNormal="70" workbookViewId="0">
      <selection activeCell="F14" sqref="F14"/>
    </sheetView>
  </sheetViews>
  <sheetFormatPr defaultRowHeight="14.4" x14ac:dyDescent="0.3"/>
  <cols>
    <col min="3" max="3" width="38.88671875" customWidth="1"/>
    <col min="4" max="4" width="11.88671875" bestFit="1" customWidth="1"/>
    <col min="5" max="5" width="15.88671875" customWidth="1"/>
    <col min="6" max="6" width="33.88671875" customWidth="1"/>
    <col min="7" max="7" width="15.33203125" customWidth="1"/>
    <col min="8" max="8" width="19.21875" customWidth="1"/>
    <col min="9" max="9" width="12.6640625" customWidth="1"/>
    <col min="10" max="10" width="6.44140625" customWidth="1"/>
    <col min="11" max="11" width="8.109375" customWidth="1"/>
    <col min="12" max="12" width="10.33203125" customWidth="1"/>
    <col min="13" max="13" width="11.5546875" customWidth="1"/>
    <col min="14" max="14" width="20.6640625" customWidth="1"/>
    <col min="15" max="15" width="14.5546875" customWidth="1"/>
    <col min="16" max="16" width="16.5546875" customWidth="1"/>
    <col min="17" max="17" width="13.77734375" customWidth="1"/>
    <col min="18" max="18" width="10.5546875" customWidth="1"/>
    <col min="20" max="20" width="11.5546875" customWidth="1"/>
    <col min="21" max="21" width="10.21875" customWidth="1"/>
  </cols>
  <sheetData>
    <row r="1" spans="1:24" ht="44.4" customHeight="1" thickBot="1" x14ac:dyDescent="0.55000000000000004">
      <c r="A1" s="2" t="s">
        <v>16</v>
      </c>
      <c r="I1" s="9"/>
      <c r="J1" s="9"/>
      <c r="K1" s="9" t="s">
        <v>14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16.4" customHeight="1" x14ac:dyDescent="0.3">
      <c r="A2" s="44" t="s">
        <v>15</v>
      </c>
      <c r="I2" s="41" t="s">
        <v>0</v>
      </c>
      <c r="J2" s="42" t="s">
        <v>1</v>
      </c>
      <c r="K2" s="42" t="s">
        <v>5</v>
      </c>
      <c r="L2" s="42" t="s">
        <v>7</v>
      </c>
      <c r="M2" s="42" t="s">
        <v>8</v>
      </c>
      <c r="N2" s="42" t="s">
        <v>9</v>
      </c>
      <c r="O2" s="42" t="s">
        <v>3</v>
      </c>
      <c r="P2" s="42" t="s">
        <v>4</v>
      </c>
      <c r="Q2" s="42" t="s">
        <v>11</v>
      </c>
      <c r="R2" s="42" t="s">
        <v>12</v>
      </c>
      <c r="S2" s="42" t="s">
        <v>13</v>
      </c>
      <c r="T2" s="42" t="s">
        <v>10</v>
      </c>
      <c r="U2" s="42" t="s">
        <v>6</v>
      </c>
      <c r="V2" s="43" t="s">
        <v>32</v>
      </c>
    </row>
    <row r="3" spans="1:24" ht="19.8" customHeight="1" x14ac:dyDescent="0.3">
      <c r="A3" t="s">
        <v>35</v>
      </c>
      <c r="I3" s="8">
        <v>2018</v>
      </c>
      <c r="J3" s="9">
        <v>1</v>
      </c>
      <c r="K3" s="9">
        <f>D9</f>
        <v>200</v>
      </c>
      <c r="L3" s="9" t="s">
        <v>2</v>
      </c>
      <c r="M3" s="9" t="s">
        <v>2</v>
      </c>
      <c r="N3" s="9" t="s">
        <v>2</v>
      </c>
      <c r="O3" s="9">
        <v>0.19</v>
      </c>
      <c r="P3" s="24">
        <f>O3</f>
        <v>0.19</v>
      </c>
      <c r="Q3" s="25">
        <f>D12</f>
        <v>1950</v>
      </c>
      <c r="R3" s="19">
        <f>P3*Q3</f>
        <v>370.5</v>
      </c>
      <c r="S3" s="19">
        <f>R3-K3</f>
        <v>170.5</v>
      </c>
      <c r="T3" s="26">
        <f>K3/R3</f>
        <v>0.53981106612685559</v>
      </c>
      <c r="U3" s="27">
        <f>1-T3</f>
        <v>0.46018893387314441</v>
      </c>
      <c r="V3" s="20">
        <f>O3*Q3-K3</f>
        <v>170.5</v>
      </c>
    </row>
    <row r="4" spans="1:24" ht="16.8" customHeight="1" x14ac:dyDescent="0.3">
      <c r="A4" t="s">
        <v>17</v>
      </c>
      <c r="I4" s="8">
        <f>I3+1</f>
        <v>2019</v>
      </c>
      <c r="J4" s="9">
        <f>J3+1</f>
        <v>2</v>
      </c>
      <c r="K4" s="28">
        <f>K3*(1+$D$10)</f>
        <v>202</v>
      </c>
      <c r="L4" s="9" t="s">
        <v>2</v>
      </c>
      <c r="M4" s="9" t="s">
        <v>2</v>
      </c>
      <c r="N4" s="9" t="s">
        <v>2</v>
      </c>
      <c r="O4" s="9">
        <v>0.19</v>
      </c>
      <c r="P4" s="24">
        <f>O4</f>
        <v>0.19</v>
      </c>
      <c r="Q4" s="25">
        <f>Q3-$D$13*$D$12</f>
        <v>1942.2</v>
      </c>
      <c r="R4" s="19">
        <f t="shared" ref="R4:R22" si="0">P4*Q4</f>
        <v>369.01800000000003</v>
      </c>
      <c r="S4" s="19">
        <f t="shared" ref="S4:S22" si="1">R4-K4</f>
        <v>167.01800000000003</v>
      </c>
      <c r="T4" s="26">
        <f t="shared" ref="T4:T22" si="2">K4/R4</f>
        <v>0.54739877187562658</v>
      </c>
      <c r="U4" s="27">
        <f t="shared" ref="U4:U22" si="3">1-T4</f>
        <v>0.45260122812437342</v>
      </c>
      <c r="V4" s="20">
        <f t="shared" ref="V4:V22" si="4">O4*Q4-K4</f>
        <v>167.01800000000003</v>
      </c>
    </row>
    <row r="5" spans="1:24" ht="16.8" customHeight="1" x14ac:dyDescent="0.3">
      <c r="A5" s="4" t="s">
        <v>27</v>
      </c>
      <c r="B5" s="4"/>
      <c r="C5" s="4"/>
      <c r="I5" s="8">
        <f t="shared" ref="I5:I22" si="5">I4+1</f>
        <v>2020</v>
      </c>
      <c r="J5" s="9">
        <f t="shared" ref="J5:J22" si="6">J4+1</f>
        <v>3</v>
      </c>
      <c r="K5" s="28">
        <f t="shared" ref="K5:K22" si="7">K4*(1+$D$10)</f>
        <v>204.02</v>
      </c>
      <c r="L5" s="29">
        <v>0.04</v>
      </c>
      <c r="M5" s="30">
        <v>0.12</v>
      </c>
      <c r="N5" s="31">
        <f>(L5+M5)*1.21</f>
        <v>0.19359999999999999</v>
      </c>
      <c r="O5" s="31">
        <f>O4*(1+$D$11)</f>
        <v>0.19284999999999999</v>
      </c>
      <c r="P5" s="24">
        <f t="shared" ref="P5:P22" si="8">N5*$D$14+O5*(1-$D$14)</f>
        <v>0.19331500000000001</v>
      </c>
      <c r="Q5" s="25">
        <f t="shared" ref="Q5:Q22" si="9">Q4-$D$13*$D$12</f>
        <v>1934.4</v>
      </c>
      <c r="R5" s="19">
        <f t="shared" si="0"/>
        <v>373.94853600000005</v>
      </c>
      <c r="S5" s="19">
        <f t="shared" si="1"/>
        <v>169.92853600000004</v>
      </c>
      <c r="T5" s="26">
        <f t="shared" si="2"/>
        <v>0.54558309595842347</v>
      </c>
      <c r="U5" s="27">
        <f t="shared" si="3"/>
        <v>0.45441690404157653</v>
      </c>
      <c r="V5" s="20">
        <f t="shared" si="4"/>
        <v>169.02903999999998</v>
      </c>
    </row>
    <row r="6" spans="1:24" ht="16.8" customHeight="1" x14ac:dyDescent="0.3">
      <c r="A6" s="3" t="s">
        <v>28</v>
      </c>
      <c r="B6" s="3"/>
      <c r="C6" s="3"/>
      <c r="D6" s="3"/>
      <c r="E6" s="3"/>
      <c r="I6" s="8">
        <f t="shared" si="5"/>
        <v>2021</v>
      </c>
      <c r="J6" s="9">
        <f t="shared" si="6"/>
        <v>4</v>
      </c>
      <c r="K6" s="28">
        <f t="shared" si="7"/>
        <v>206.06020000000001</v>
      </c>
      <c r="L6" s="29">
        <f>L5*(1+$D$11)</f>
        <v>4.0599999999999997E-2</v>
      </c>
      <c r="M6" s="30">
        <v>0.11</v>
      </c>
      <c r="N6" s="31">
        <f t="shared" ref="N6:N22" si="10">(L6+M6)*1.21</f>
        <v>0.182226</v>
      </c>
      <c r="O6" s="31">
        <f t="shared" ref="O6:O22" si="11">O5*(1+$D$11)</f>
        <v>0.19574274999999997</v>
      </c>
      <c r="P6" s="24">
        <f t="shared" si="8"/>
        <v>0.18736236499999998</v>
      </c>
      <c r="Q6" s="25">
        <f t="shared" si="9"/>
        <v>1926.6000000000001</v>
      </c>
      <c r="R6" s="19">
        <f t="shared" si="0"/>
        <v>360.97233240899999</v>
      </c>
      <c r="S6" s="19">
        <f t="shared" si="1"/>
        <v>154.91213240899998</v>
      </c>
      <c r="T6" s="26">
        <f t="shared" si="2"/>
        <v>0.57084762874990469</v>
      </c>
      <c r="U6" s="27">
        <f t="shared" si="3"/>
        <v>0.42915237125009531</v>
      </c>
      <c r="V6" s="20">
        <f t="shared" si="4"/>
        <v>171.05778214999992</v>
      </c>
    </row>
    <row r="7" spans="1:24" ht="16.8" customHeight="1" thickBot="1" x14ac:dyDescent="0.35">
      <c r="I7" s="8">
        <f t="shared" si="5"/>
        <v>2022</v>
      </c>
      <c r="J7" s="9">
        <f t="shared" si="6"/>
        <v>5</v>
      </c>
      <c r="K7" s="28">
        <f t="shared" si="7"/>
        <v>208.120802</v>
      </c>
      <c r="L7" s="29">
        <f t="shared" ref="L7:L22" si="12">L6*(1+$D$11)</f>
        <v>4.1208999999999996E-2</v>
      </c>
      <c r="M7" s="30">
        <v>0.1</v>
      </c>
      <c r="N7" s="31">
        <f t="shared" si="10"/>
        <v>0.17086288999999999</v>
      </c>
      <c r="O7" s="31">
        <f t="shared" si="11"/>
        <v>0.19867889124999993</v>
      </c>
      <c r="P7" s="24">
        <f t="shared" si="8"/>
        <v>0.18143297047499996</v>
      </c>
      <c r="Q7" s="25">
        <f t="shared" si="9"/>
        <v>1918.8000000000002</v>
      </c>
      <c r="R7" s="19">
        <f t="shared" si="0"/>
        <v>348.13358374742995</v>
      </c>
      <c r="S7" s="19">
        <f t="shared" si="1"/>
        <v>140.01278174742995</v>
      </c>
      <c r="T7" s="26">
        <f t="shared" si="2"/>
        <v>0.5978188020808447</v>
      </c>
      <c r="U7" s="27">
        <f t="shared" si="3"/>
        <v>0.4021811979191553</v>
      </c>
      <c r="V7" s="20">
        <f t="shared" si="4"/>
        <v>173.1042545304999</v>
      </c>
    </row>
    <row r="8" spans="1:24" s="5" customFormat="1" ht="51" customHeight="1" x14ac:dyDescent="0.3">
      <c r="A8" s="45" t="s">
        <v>18</v>
      </c>
      <c r="B8" s="6"/>
      <c r="C8" s="6"/>
      <c r="D8" s="6"/>
      <c r="E8" s="6"/>
      <c r="F8" s="45" t="s">
        <v>39</v>
      </c>
      <c r="G8" s="6" t="s">
        <v>33</v>
      </c>
      <c r="H8" s="7" t="s">
        <v>34</v>
      </c>
      <c r="I8" s="8">
        <f t="shared" si="5"/>
        <v>2023</v>
      </c>
      <c r="J8" s="9">
        <f t="shared" si="6"/>
        <v>6</v>
      </c>
      <c r="K8" s="28">
        <f t="shared" si="7"/>
        <v>210.20201001999999</v>
      </c>
      <c r="L8" s="29">
        <f t="shared" si="12"/>
        <v>4.1827134999999994E-2</v>
      </c>
      <c r="M8" s="30">
        <v>0.1</v>
      </c>
      <c r="N8" s="31">
        <f t="shared" si="10"/>
        <v>0.17161083334999999</v>
      </c>
      <c r="O8" s="31">
        <f t="shared" si="11"/>
        <v>0.20165907461874991</v>
      </c>
      <c r="P8" s="24">
        <f t="shared" si="8"/>
        <v>0.18302916503212496</v>
      </c>
      <c r="Q8" s="25">
        <f t="shared" si="9"/>
        <v>1911.0000000000002</v>
      </c>
      <c r="R8" s="19">
        <f t="shared" si="0"/>
        <v>349.76873437639085</v>
      </c>
      <c r="S8" s="19">
        <f t="shared" si="1"/>
        <v>139.56672435639086</v>
      </c>
      <c r="T8" s="26">
        <f t="shared" si="2"/>
        <v>0.60097427059846575</v>
      </c>
      <c r="U8" s="27">
        <f t="shared" si="3"/>
        <v>0.39902572940153425</v>
      </c>
      <c r="V8" s="20">
        <f t="shared" si="4"/>
        <v>175.16848157643113</v>
      </c>
    </row>
    <row r="9" spans="1:24" ht="16.8" customHeight="1" x14ac:dyDescent="0.3">
      <c r="A9" s="8" t="s">
        <v>19</v>
      </c>
      <c r="B9" s="9"/>
      <c r="C9" s="9"/>
      <c r="D9" s="10">
        <v>200</v>
      </c>
      <c r="E9" s="9" t="s">
        <v>25</v>
      </c>
      <c r="F9" s="8" t="s">
        <v>29</v>
      </c>
      <c r="G9" s="19">
        <f>V3</f>
        <v>170.5</v>
      </c>
      <c r="H9" s="20">
        <f>S3</f>
        <v>170.5</v>
      </c>
      <c r="I9" s="8">
        <f t="shared" si="5"/>
        <v>2024</v>
      </c>
      <c r="J9" s="9">
        <f t="shared" si="6"/>
        <v>7</v>
      </c>
      <c r="K9" s="28">
        <f t="shared" si="7"/>
        <v>212.3040301202</v>
      </c>
      <c r="L9" s="29">
        <f t="shared" si="12"/>
        <v>4.2454542024999993E-2</v>
      </c>
      <c r="M9" s="30">
        <v>0.09</v>
      </c>
      <c r="N9" s="31">
        <f t="shared" si="10"/>
        <v>0.16026999585024998</v>
      </c>
      <c r="O9" s="31">
        <f t="shared" si="11"/>
        <v>0.20468396073803113</v>
      </c>
      <c r="P9" s="24">
        <f t="shared" si="8"/>
        <v>0.17714730250760682</v>
      </c>
      <c r="Q9" s="25">
        <f t="shared" si="9"/>
        <v>1903.2000000000003</v>
      </c>
      <c r="R9" s="19">
        <f t="shared" si="0"/>
        <v>337.14674613247735</v>
      </c>
      <c r="S9" s="19">
        <f t="shared" si="1"/>
        <v>124.84271601227735</v>
      </c>
      <c r="T9" s="26">
        <f t="shared" si="2"/>
        <v>0.62970807980682075</v>
      </c>
      <c r="U9" s="27">
        <f t="shared" si="3"/>
        <v>0.37029192019317925</v>
      </c>
      <c r="V9" s="20">
        <f t="shared" si="4"/>
        <v>177.25048395642094</v>
      </c>
    </row>
    <row r="10" spans="1:24" ht="16.8" customHeight="1" x14ac:dyDescent="0.3">
      <c r="A10" s="8" t="s">
        <v>20</v>
      </c>
      <c r="B10" s="9"/>
      <c r="C10" s="9"/>
      <c r="D10" s="12">
        <v>0.01</v>
      </c>
      <c r="E10" s="9" t="s">
        <v>26</v>
      </c>
      <c r="F10" s="8" t="s">
        <v>30</v>
      </c>
      <c r="G10" s="19">
        <f>V22</f>
        <v>205.93581786330293</v>
      </c>
      <c r="H10" s="20">
        <f>S22</f>
        <v>-1.9086820618928186</v>
      </c>
      <c r="I10" s="8">
        <f t="shared" si="5"/>
        <v>2025</v>
      </c>
      <c r="J10" s="9">
        <f t="shared" si="6"/>
        <v>8</v>
      </c>
      <c r="K10" s="28">
        <f t="shared" si="7"/>
        <v>214.42707042140199</v>
      </c>
      <c r="L10" s="29">
        <f t="shared" si="12"/>
        <v>4.3091360155374986E-2</v>
      </c>
      <c r="M10" s="30">
        <v>0.08</v>
      </c>
      <c r="N10" s="31">
        <f t="shared" si="10"/>
        <v>0.14894054578800373</v>
      </c>
      <c r="O10" s="31">
        <f t="shared" si="11"/>
        <v>0.20775422014910158</v>
      </c>
      <c r="P10" s="24">
        <f t="shared" si="8"/>
        <v>0.17128974204522091</v>
      </c>
      <c r="Q10" s="25">
        <f t="shared" si="9"/>
        <v>1895.4000000000003</v>
      </c>
      <c r="R10" s="19">
        <f t="shared" si="0"/>
        <v>324.66257707251174</v>
      </c>
      <c r="S10" s="19">
        <f t="shared" si="1"/>
        <v>110.23550665110974</v>
      </c>
      <c r="T10" s="26">
        <f t="shared" si="2"/>
        <v>0.66046130833708871</v>
      </c>
      <c r="U10" s="27">
        <f t="shared" si="3"/>
        <v>0.33953869166291129</v>
      </c>
      <c r="V10" s="20">
        <f t="shared" si="4"/>
        <v>179.35027844920523</v>
      </c>
    </row>
    <row r="11" spans="1:24" x14ac:dyDescent="0.3">
      <c r="A11" s="8" t="s">
        <v>21</v>
      </c>
      <c r="B11" s="9"/>
      <c r="C11" s="9"/>
      <c r="D11" s="13">
        <v>1.4999999999999999E-2</v>
      </c>
      <c r="E11" s="17" t="s">
        <v>26</v>
      </c>
      <c r="F11" s="8" t="s">
        <v>31</v>
      </c>
      <c r="G11" s="19">
        <f>AVERAGE(V3:V22)</f>
        <v>185.24731243135912</v>
      </c>
      <c r="H11" s="20">
        <f>AVERAGE(S3:S22)</f>
        <v>75.498204876679026</v>
      </c>
      <c r="I11" s="8">
        <f t="shared" si="5"/>
        <v>2026</v>
      </c>
      <c r="J11" s="9">
        <f t="shared" si="6"/>
        <v>9</v>
      </c>
      <c r="K11" s="28">
        <f t="shared" si="7"/>
        <v>216.57134112561602</v>
      </c>
      <c r="L11" s="29">
        <f t="shared" si="12"/>
        <v>4.3737730557705606E-2</v>
      </c>
      <c r="M11" s="30">
        <v>7.0000000000000007E-2</v>
      </c>
      <c r="N11" s="31">
        <f t="shared" si="10"/>
        <v>0.13762265397482379</v>
      </c>
      <c r="O11" s="31">
        <f t="shared" si="11"/>
        <v>0.21087053345133808</v>
      </c>
      <c r="P11" s="24">
        <f t="shared" si="8"/>
        <v>0.16545684817589923</v>
      </c>
      <c r="Q11" s="25">
        <f t="shared" si="9"/>
        <v>1887.6000000000004</v>
      </c>
      <c r="R11" s="19">
        <f t="shared" si="0"/>
        <v>312.31634661682745</v>
      </c>
      <c r="S11" s="19">
        <f t="shared" si="1"/>
        <v>95.74500549121143</v>
      </c>
      <c r="T11" s="26">
        <f t="shared" si="2"/>
        <v>0.69343581747042393</v>
      </c>
      <c r="U11" s="27">
        <f t="shared" si="3"/>
        <v>0.30656418252957607</v>
      </c>
      <c r="V11" s="20">
        <f t="shared" si="4"/>
        <v>181.46787781712982</v>
      </c>
    </row>
    <row r="12" spans="1:24" x14ac:dyDescent="0.3">
      <c r="A12" s="8" t="s">
        <v>22</v>
      </c>
      <c r="B12" s="9"/>
      <c r="C12" s="9"/>
      <c r="D12" s="14">
        <v>1950</v>
      </c>
      <c r="E12" s="17" t="s">
        <v>24</v>
      </c>
      <c r="F12" s="21" t="s">
        <v>40</v>
      </c>
      <c r="G12" s="22">
        <f>NPV(3%,V3:V22)</f>
        <v>2726.0032687668318</v>
      </c>
      <c r="H12" s="23">
        <f>NPV(3%,S3:S22)</f>
        <v>1282.4983319655144</v>
      </c>
      <c r="I12" s="8">
        <f t="shared" si="5"/>
        <v>2027</v>
      </c>
      <c r="J12" s="9">
        <f t="shared" si="6"/>
        <v>10</v>
      </c>
      <c r="K12" s="28">
        <f t="shared" si="7"/>
        <v>218.73705453687217</v>
      </c>
      <c r="L12" s="29">
        <f t="shared" si="12"/>
        <v>4.4393796516071185E-2</v>
      </c>
      <c r="M12" s="30">
        <v>0.05</v>
      </c>
      <c r="N12" s="31">
        <f t="shared" si="10"/>
        <v>0.11421649378444614</v>
      </c>
      <c r="O12" s="31">
        <f t="shared" si="11"/>
        <v>0.21403359145310813</v>
      </c>
      <c r="P12" s="24">
        <f t="shared" si="8"/>
        <v>0.1521469908985377</v>
      </c>
      <c r="Q12" s="25">
        <f t="shared" si="9"/>
        <v>1879.8000000000004</v>
      </c>
      <c r="R12" s="19">
        <f t="shared" si="0"/>
        <v>286.00591349107123</v>
      </c>
      <c r="S12" s="19">
        <f t="shared" si="1"/>
        <v>67.268858954199061</v>
      </c>
      <c r="T12" s="26">
        <f t="shared" si="2"/>
        <v>0.76479906260295172</v>
      </c>
      <c r="U12" s="27">
        <f t="shared" si="3"/>
        <v>0.23520093739704828</v>
      </c>
      <c r="V12" s="20">
        <f t="shared" si="4"/>
        <v>183.60329067668056</v>
      </c>
    </row>
    <row r="13" spans="1:24" x14ac:dyDescent="0.3">
      <c r="A13" s="8" t="s">
        <v>23</v>
      </c>
      <c r="B13" s="9"/>
      <c r="C13" s="9"/>
      <c r="D13" s="13">
        <v>4.0000000000000001E-3</v>
      </c>
      <c r="E13" s="17" t="s">
        <v>26</v>
      </c>
      <c r="F13" s="21" t="s">
        <v>41</v>
      </c>
      <c r="G13" s="9"/>
      <c r="H13" s="11"/>
      <c r="I13" s="8">
        <f t="shared" si="5"/>
        <v>2028</v>
      </c>
      <c r="J13" s="9">
        <f t="shared" si="6"/>
        <v>11</v>
      </c>
      <c r="K13" s="28">
        <f t="shared" si="7"/>
        <v>220.9244250822409</v>
      </c>
      <c r="L13" s="29">
        <f t="shared" si="12"/>
        <v>4.5059703463812245E-2</v>
      </c>
      <c r="M13" s="30">
        <v>0.04</v>
      </c>
      <c r="N13" s="31">
        <f t="shared" si="10"/>
        <v>0.10292224119121282</v>
      </c>
      <c r="O13" s="31">
        <f t="shared" si="11"/>
        <v>0.21724409532490474</v>
      </c>
      <c r="P13" s="24">
        <f t="shared" si="8"/>
        <v>0.14636454576201574</v>
      </c>
      <c r="Q13" s="25">
        <f t="shared" si="9"/>
        <v>1872.0000000000005</v>
      </c>
      <c r="R13" s="19">
        <f t="shared" si="0"/>
        <v>273.99442966649355</v>
      </c>
      <c r="S13" s="19">
        <f t="shared" si="1"/>
        <v>53.070004584252644</v>
      </c>
      <c r="T13" s="26">
        <f t="shared" si="2"/>
        <v>0.8063099142239879</v>
      </c>
      <c r="U13" s="27">
        <f t="shared" si="3"/>
        <v>0.1936900857760121</v>
      </c>
      <c r="V13" s="20">
        <f t="shared" si="4"/>
        <v>185.75652136598089</v>
      </c>
    </row>
    <row r="14" spans="1:24" x14ac:dyDescent="0.3">
      <c r="A14" s="8" t="s">
        <v>37</v>
      </c>
      <c r="B14" s="9"/>
      <c r="C14" s="9"/>
      <c r="D14" s="12">
        <v>0.62</v>
      </c>
      <c r="E14" s="17" t="s">
        <v>36</v>
      </c>
      <c r="F14" s="21"/>
      <c r="G14" s="9"/>
      <c r="H14" s="11"/>
      <c r="I14" s="8">
        <f t="shared" si="5"/>
        <v>2029</v>
      </c>
      <c r="J14" s="9">
        <f t="shared" si="6"/>
        <v>12</v>
      </c>
      <c r="K14" s="28">
        <f t="shared" si="7"/>
        <v>223.13366933306332</v>
      </c>
      <c r="L14" s="29">
        <f t="shared" si="12"/>
        <v>4.5735599015769422E-2</v>
      </c>
      <c r="M14" s="30">
        <v>0.03</v>
      </c>
      <c r="N14" s="31">
        <f t="shared" si="10"/>
        <v>9.1640074809080999E-2</v>
      </c>
      <c r="O14" s="31">
        <f t="shared" si="11"/>
        <v>0.22050275675477829</v>
      </c>
      <c r="P14" s="24">
        <f t="shared" si="8"/>
        <v>0.14060789394844597</v>
      </c>
      <c r="Q14" s="25">
        <f t="shared" si="9"/>
        <v>1864.2000000000005</v>
      </c>
      <c r="R14" s="19">
        <f t="shared" si="0"/>
        <v>262.12123589869304</v>
      </c>
      <c r="S14" s="19">
        <f t="shared" si="1"/>
        <v>38.98756656562972</v>
      </c>
      <c r="T14" s="26">
        <f t="shared" si="2"/>
        <v>0.85126132023619028</v>
      </c>
      <c r="U14" s="27">
        <f t="shared" si="3"/>
        <v>0.14873867976380972</v>
      </c>
      <c r="V14" s="20">
        <f t="shared" si="4"/>
        <v>187.92756980919449</v>
      </c>
    </row>
    <row r="15" spans="1:24" ht="15" thickBot="1" x14ac:dyDescent="0.35">
      <c r="A15" s="15" t="s">
        <v>38</v>
      </c>
      <c r="B15" s="16"/>
      <c r="C15" s="16"/>
      <c r="D15" s="16"/>
      <c r="E15" s="16"/>
      <c r="F15" s="15"/>
      <c r="G15" s="16"/>
      <c r="H15" s="18"/>
      <c r="I15" s="8">
        <f t="shared" si="5"/>
        <v>2030</v>
      </c>
      <c r="J15" s="9">
        <f t="shared" si="6"/>
        <v>13</v>
      </c>
      <c r="K15" s="28">
        <f t="shared" si="7"/>
        <v>225.36500602639396</v>
      </c>
      <c r="L15" s="29">
        <f t="shared" si="12"/>
        <v>4.6421633001005956E-2</v>
      </c>
      <c r="M15" s="30">
        <v>0.02</v>
      </c>
      <c r="N15" s="31">
        <f t="shared" si="10"/>
        <v>8.0370175931217203E-2</v>
      </c>
      <c r="O15" s="31">
        <f t="shared" si="11"/>
        <v>0.22381029810609995</v>
      </c>
      <c r="P15" s="24">
        <f t="shared" si="8"/>
        <v>0.13487742235767264</v>
      </c>
      <c r="Q15" s="25">
        <f t="shared" si="9"/>
        <v>1856.4000000000005</v>
      </c>
      <c r="R15" s="19">
        <f t="shared" si="0"/>
        <v>250.38644686478355</v>
      </c>
      <c r="S15" s="19">
        <f t="shared" si="1"/>
        <v>25.021440838389594</v>
      </c>
      <c r="T15" s="26">
        <f t="shared" si="2"/>
        <v>0.90006870918256232</v>
      </c>
      <c r="U15" s="27">
        <f t="shared" si="3"/>
        <v>9.9931290817437679E-2</v>
      </c>
      <c r="V15" s="20">
        <f t="shared" si="4"/>
        <v>190.11643137777011</v>
      </c>
    </row>
    <row r="16" spans="1:24" x14ac:dyDescent="0.3">
      <c r="I16" s="8">
        <f t="shared" si="5"/>
        <v>2031</v>
      </c>
      <c r="J16" s="9">
        <f t="shared" si="6"/>
        <v>14</v>
      </c>
      <c r="K16" s="28">
        <f t="shared" si="7"/>
        <v>227.61865608665789</v>
      </c>
      <c r="L16" s="29">
        <f t="shared" si="12"/>
        <v>4.7117957496021039E-2</v>
      </c>
      <c r="M16" s="29">
        <f>M15-0.02/6</f>
        <v>1.6666666666666666E-2</v>
      </c>
      <c r="N16" s="31">
        <f t="shared" si="10"/>
        <v>7.7179395236852119E-2</v>
      </c>
      <c r="O16" s="31">
        <f t="shared" si="11"/>
        <v>0.22716745257769144</v>
      </c>
      <c r="P16" s="24">
        <f t="shared" si="8"/>
        <v>0.13417485702637105</v>
      </c>
      <c r="Q16" s="25">
        <f t="shared" si="9"/>
        <v>1848.6000000000006</v>
      </c>
      <c r="R16" s="19">
        <f t="shared" si="0"/>
        <v>248.03564069894961</v>
      </c>
      <c r="S16" s="19">
        <f t="shared" si="1"/>
        <v>20.416984612291714</v>
      </c>
      <c r="T16" s="26">
        <f t="shared" si="2"/>
        <v>0.9176852787980071</v>
      </c>
      <c r="U16" s="27">
        <f t="shared" si="3"/>
        <v>8.2314721201992902E-2</v>
      </c>
      <c r="V16" s="20">
        <f t="shared" si="4"/>
        <v>192.32309674846266</v>
      </c>
    </row>
    <row r="17" spans="9:22" x14ac:dyDescent="0.3">
      <c r="I17" s="8">
        <f t="shared" si="5"/>
        <v>2032</v>
      </c>
      <c r="J17" s="9">
        <f t="shared" si="6"/>
        <v>15</v>
      </c>
      <c r="K17" s="28">
        <f t="shared" si="7"/>
        <v>229.89484264752448</v>
      </c>
      <c r="L17" s="29">
        <f t="shared" si="12"/>
        <v>4.7824726858461349E-2</v>
      </c>
      <c r="M17" s="29">
        <f t="shared" ref="M17:M21" si="13">M16-0.02/6</f>
        <v>1.3333333333333332E-2</v>
      </c>
      <c r="N17" s="31">
        <f t="shared" si="10"/>
        <v>7.4001252832071554E-2</v>
      </c>
      <c r="O17" s="31">
        <f t="shared" si="11"/>
        <v>0.2305749643663568</v>
      </c>
      <c r="P17" s="24">
        <f t="shared" si="8"/>
        <v>0.13349926321509994</v>
      </c>
      <c r="Q17" s="25">
        <f t="shared" si="9"/>
        <v>1840.8000000000006</v>
      </c>
      <c r="R17" s="19">
        <f t="shared" si="0"/>
        <v>245.74544372635606</v>
      </c>
      <c r="S17" s="19">
        <f t="shared" si="1"/>
        <v>15.850601078831573</v>
      </c>
      <c r="T17" s="26">
        <f t="shared" si="2"/>
        <v>0.93549991878392003</v>
      </c>
      <c r="U17" s="27">
        <f t="shared" si="3"/>
        <v>6.4500081216079974E-2</v>
      </c>
      <c r="V17" s="20">
        <f t="shared" si="4"/>
        <v>194.54755175806528</v>
      </c>
    </row>
    <row r="18" spans="9:22" s="1" customFormat="1" x14ac:dyDescent="0.3">
      <c r="I18" s="8">
        <f t="shared" si="5"/>
        <v>2033</v>
      </c>
      <c r="J18" s="9">
        <f t="shared" si="6"/>
        <v>16</v>
      </c>
      <c r="K18" s="28">
        <f t="shared" si="7"/>
        <v>232.19379107399973</v>
      </c>
      <c r="L18" s="29">
        <f t="shared" si="12"/>
        <v>4.8542097761338263E-2</v>
      </c>
      <c r="M18" s="29">
        <f t="shared" si="13"/>
        <v>9.9999999999999985E-3</v>
      </c>
      <c r="N18" s="31">
        <f t="shared" si="10"/>
        <v>7.0835938291219286E-2</v>
      </c>
      <c r="O18" s="31">
        <f t="shared" si="11"/>
        <v>0.23403358883185213</v>
      </c>
      <c r="P18" s="24">
        <f t="shared" si="8"/>
        <v>0.13285104549665977</v>
      </c>
      <c r="Q18" s="25">
        <f t="shared" si="9"/>
        <v>1833.0000000000007</v>
      </c>
      <c r="R18" s="19">
        <f t="shared" si="0"/>
        <v>243.51596639537746</v>
      </c>
      <c r="S18" s="19">
        <f t="shared" si="1"/>
        <v>11.322175321377728</v>
      </c>
      <c r="T18" s="26">
        <f t="shared" si="2"/>
        <v>0.95350540874599243</v>
      </c>
      <c r="U18" s="27">
        <f t="shared" si="3"/>
        <v>4.6494591254007567E-2</v>
      </c>
      <c r="V18" s="20">
        <f t="shared" si="4"/>
        <v>196.78977725478538</v>
      </c>
    </row>
    <row r="19" spans="9:22" x14ac:dyDescent="0.3">
      <c r="I19" s="8">
        <f t="shared" si="5"/>
        <v>2034</v>
      </c>
      <c r="J19" s="9">
        <f t="shared" si="6"/>
        <v>17</v>
      </c>
      <c r="K19" s="28">
        <f t="shared" si="7"/>
        <v>234.51572898473972</v>
      </c>
      <c r="L19" s="29">
        <f t="shared" si="12"/>
        <v>4.9270229227758332E-2</v>
      </c>
      <c r="M19" s="29">
        <f t="shared" si="13"/>
        <v>6.6666666666666645E-3</v>
      </c>
      <c r="N19" s="31">
        <f t="shared" si="10"/>
        <v>6.7683644032254242E-2</v>
      </c>
      <c r="O19" s="31">
        <f t="shared" si="11"/>
        <v>0.23754409266432988</v>
      </c>
      <c r="P19" s="24">
        <f t="shared" si="8"/>
        <v>0.132230614512443</v>
      </c>
      <c r="Q19" s="25">
        <f t="shared" si="9"/>
        <v>1825.2000000000007</v>
      </c>
      <c r="R19" s="19">
        <f t="shared" si="0"/>
        <v>241.34731760811107</v>
      </c>
      <c r="S19" s="19">
        <f t="shared" si="1"/>
        <v>6.8315886233713456</v>
      </c>
      <c r="T19" s="26">
        <f t="shared" si="2"/>
        <v>0.97169395255320723</v>
      </c>
      <c r="U19" s="27">
        <f t="shared" si="3"/>
        <v>2.830604744679277E-2</v>
      </c>
      <c r="V19" s="20">
        <f t="shared" si="4"/>
        <v>199.04974894619534</v>
      </c>
    </row>
    <row r="20" spans="9:22" x14ac:dyDescent="0.3">
      <c r="I20" s="8">
        <f t="shared" si="5"/>
        <v>2035</v>
      </c>
      <c r="J20" s="9">
        <f t="shared" si="6"/>
        <v>18</v>
      </c>
      <c r="K20" s="28">
        <f t="shared" si="7"/>
        <v>236.86088627458713</v>
      </c>
      <c r="L20" s="29">
        <f t="shared" si="12"/>
        <v>5.0009282666174701E-2</v>
      </c>
      <c r="M20" s="29">
        <f t="shared" si="13"/>
        <v>3.3333333333333309E-3</v>
      </c>
      <c r="N20" s="31">
        <f t="shared" si="10"/>
        <v>6.4544565359404726E-2</v>
      </c>
      <c r="O20" s="31">
        <f t="shared" si="11"/>
        <v>0.24110725405429481</v>
      </c>
      <c r="P20" s="24">
        <f t="shared" si="8"/>
        <v>0.13163838706346295</v>
      </c>
      <c r="Q20" s="25">
        <f t="shared" si="9"/>
        <v>1817.4000000000008</v>
      </c>
      <c r="R20" s="19">
        <f t="shared" si="0"/>
        <v>239.23960464913768</v>
      </c>
      <c r="S20" s="19">
        <f t="shared" si="1"/>
        <v>2.3787183745505445</v>
      </c>
      <c r="T20" s="26">
        <f t="shared" si="2"/>
        <v>0.99005717143681493</v>
      </c>
      <c r="U20" s="27">
        <f t="shared" si="3"/>
        <v>9.9428285631850688E-3</v>
      </c>
      <c r="V20" s="20">
        <f t="shared" si="4"/>
        <v>201.32743724368845</v>
      </c>
    </row>
    <row r="21" spans="9:22" x14ac:dyDescent="0.3">
      <c r="I21" s="8">
        <f t="shared" si="5"/>
        <v>2036</v>
      </c>
      <c r="J21" s="9">
        <f t="shared" si="6"/>
        <v>19</v>
      </c>
      <c r="K21" s="28">
        <f t="shared" si="7"/>
        <v>239.229495137333</v>
      </c>
      <c r="L21" s="29">
        <f t="shared" si="12"/>
        <v>5.0759421906167314E-2</v>
      </c>
      <c r="M21" s="29">
        <f t="shared" si="13"/>
        <v>0</v>
      </c>
      <c r="N21" s="31">
        <f t="shared" si="10"/>
        <v>6.1418900506462447E-2</v>
      </c>
      <c r="O21" s="31">
        <f t="shared" si="11"/>
        <v>0.24472386286510922</v>
      </c>
      <c r="P21" s="24">
        <f t="shared" si="8"/>
        <v>0.13107478620274823</v>
      </c>
      <c r="Q21" s="25">
        <f t="shared" si="9"/>
        <v>1809.6000000000008</v>
      </c>
      <c r="R21" s="19">
        <f t="shared" si="0"/>
        <v>237.19293311249331</v>
      </c>
      <c r="S21" s="19">
        <f t="shared" si="1"/>
        <v>-2.0365620248396965</v>
      </c>
      <c r="T21" s="26">
        <f t="shared" si="2"/>
        <v>1.0085860990802531</v>
      </c>
      <c r="U21" s="27">
        <f t="shared" si="3"/>
        <v>-8.5860990802530957E-3</v>
      </c>
      <c r="V21" s="20">
        <f t="shared" si="4"/>
        <v>203.62280710336887</v>
      </c>
    </row>
    <row r="22" spans="9:22" ht="15" thickBot="1" x14ac:dyDescent="0.35">
      <c r="I22" s="15">
        <f t="shared" si="5"/>
        <v>2037</v>
      </c>
      <c r="J22" s="16">
        <f t="shared" si="6"/>
        <v>20</v>
      </c>
      <c r="K22" s="32">
        <f t="shared" si="7"/>
        <v>241.62179008870635</v>
      </c>
      <c r="L22" s="33">
        <f t="shared" si="12"/>
        <v>5.1520813234759821E-2</v>
      </c>
      <c r="M22" s="33">
        <v>0</v>
      </c>
      <c r="N22" s="34">
        <f t="shared" si="10"/>
        <v>6.2340184014059379E-2</v>
      </c>
      <c r="O22" s="34">
        <f t="shared" si="11"/>
        <v>0.24839472080808583</v>
      </c>
      <c r="P22" s="35">
        <f t="shared" si="8"/>
        <v>0.13304090799578944</v>
      </c>
      <c r="Q22" s="36">
        <f t="shared" si="9"/>
        <v>1801.8000000000009</v>
      </c>
      <c r="R22" s="37">
        <f t="shared" si="0"/>
        <v>239.71310802681353</v>
      </c>
      <c r="S22" s="37">
        <f t="shared" si="1"/>
        <v>-1.9086820618928186</v>
      </c>
      <c r="T22" s="38">
        <f t="shared" si="2"/>
        <v>1.0079623599960972</v>
      </c>
      <c r="U22" s="39">
        <f t="shared" si="3"/>
        <v>-7.9623599960971791E-3</v>
      </c>
      <c r="V22" s="40">
        <f t="shared" si="4"/>
        <v>205.93581786330293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Corpeleijn</dc:creator>
  <cp:lastModifiedBy>Maarten Corpeleijn</cp:lastModifiedBy>
  <cp:lastPrinted>2017-11-01T09:55:29Z</cp:lastPrinted>
  <dcterms:created xsi:type="dcterms:W3CDTF">2017-10-30T13:06:28Z</dcterms:created>
  <dcterms:modified xsi:type="dcterms:W3CDTF">2017-11-01T10:06:32Z</dcterms:modified>
</cp:coreProperties>
</file>