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766"/>
  <workbookPr/>
  <mc:AlternateContent xmlns:mc="http://schemas.openxmlformats.org/markup-compatibility/2006">
    <mc:Choice Requires="x15">
      <x15ac:absPath xmlns:x15ac="http://schemas.microsoft.com/office/spreadsheetml/2010/11/ac" url="D:\Dropbox\"/>
    </mc:Choice>
  </mc:AlternateContent>
  <bookViews>
    <workbookView xWindow="0" yWindow="0" windowWidth="25600" windowHeight="6080"/>
  </bookViews>
  <sheets>
    <sheet name="rekenmodel" sheetId="1" r:id="rId1"/>
    <sheet name="kasstromen achtergrond" sheetId="2" r:id="rId2"/>
    <sheet name="aantal panelen per woning" sheetId="4" r:id="rId3"/>
    <sheet name="egw-potentieel " sheetId="5" r:id="rId4"/>
    <sheet name="collmeters potentieel" sheetId="6" r:id="rId5"/>
  </sheets>
  <definedNames>
    <definedName name="_ftn1" localSheetId="3">'egw-potentieel '!$A$16</definedName>
    <definedName name="_ftn2" localSheetId="3">'egw-potentieel '!$A$17</definedName>
    <definedName name="_ftnref1" localSheetId="3">'egw-potentieel '!$A$8</definedName>
    <definedName name="_ftnref2" localSheetId="3">'egw-potentieel '!$C$13</definedName>
  </definedName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 i="2" l="1"/>
  <c r="E10" i="1"/>
  <c r="D10" i="1" l="1"/>
  <c r="D2" i="1" l="1"/>
  <c r="D3" i="1" s="1"/>
  <c r="D5" i="1" s="1"/>
  <c r="E2" i="1"/>
  <c r="E3" i="1" s="1"/>
  <c r="E5" i="1" s="1"/>
  <c r="C2" i="1"/>
  <c r="C3" i="1" s="1"/>
  <c r="C5" i="1" s="1"/>
  <c r="C26" i="1" l="1"/>
  <c r="D13" i="1"/>
  <c r="E13" i="1" s="1"/>
  <c r="G8" i="5"/>
  <c r="G7" i="5"/>
  <c r="D7" i="6" l="1"/>
  <c r="D9" i="6" s="1"/>
  <c r="D10" i="6" s="1"/>
  <c r="C7" i="6"/>
  <c r="B7" i="6"/>
  <c r="E6" i="6"/>
  <c r="E5" i="6"/>
  <c r="C9" i="6"/>
  <c r="C10" i="6" s="1"/>
  <c r="E7" i="6" l="1"/>
  <c r="B9" i="6" l="1"/>
  <c r="D3" i="6"/>
  <c r="E3" i="6" s="1"/>
  <c r="B10" i="6" l="1"/>
  <c r="E10" i="6" s="1"/>
  <c r="E9" i="6"/>
  <c r="D9" i="1"/>
  <c r="D11" i="1" s="1"/>
  <c r="D18" i="1" s="1"/>
  <c r="E9" i="1"/>
  <c r="E11" i="1" s="1"/>
  <c r="B28" i="5"/>
  <c r="B25" i="5"/>
  <c r="B24" i="5"/>
  <c r="C24" i="5" s="1"/>
  <c r="B23" i="5"/>
  <c r="C23" i="5" s="1"/>
  <c r="E12" i="5"/>
  <c r="F12" i="5" s="1"/>
  <c r="E11" i="5"/>
  <c r="F11" i="5" s="1"/>
  <c r="E4" i="5"/>
  <c r="E5" i="5"/>
  <c r="E6" i="5"/>
  <c r="C7" i="5"/>
  <c r="C8" i="5" s="1"/>
  <c r="C9" i="5" s="1"/>
  <c r="C10" i="5" s="1"/>
  <c r="D7" i="5"/>
  <c r="D8" i="5" s="1"/>
  <c r="D9" i="5" s="1"/>
  <c r="D10" i="5" s="1"/>
  <c r="B7" i="5"/>
  <c r="B8" i="5" s="1"/>
  <c r="B9" i="5" s="1"/>
  <c r="E3" i="5"/>
  <c r="B10" i="5" l="1"/>
  <c r="E10" i="5" s="1"/>
  <c r="E9" i="5"/>
  <c r="E8" i="5"/>
  <c r="E7" i="5"/>
  <c r="O9" i="4" l="1"/>
  <c r="N9" i="4"/>
  <c r="M9" i="4"/>
  <c r="L9" i="4"/>
  <c r="K9" i="4"/>
  <c r="I9" i="4"/>
  <c r="H9" i="4"/>
  <c r="G9" i="4"/>
  <c r="F9" i="4"/>
  <c r="D9" i="4" s="1"/>
  <c r="B12" i="4" s="1"/>
  <c r="E9" i="4"/>
  <c r="P8" i="4"/>
  <c r="C8" i="4"/>
  <c r="C7" i="4"/>
  <c r="D7" i="4" s="1"/>
  <c r="C6" i="4"/>
  <c r="J5" i="4"/>
  <c r="C5" i="4" s="1"/>
  <c r="D5" i="4" s="1"/>
  <c r="J4" i="4"/>
  <c r="C4" i="4"/>
  <c r="D4" i="4" s="1"/>
  <c r="J3" i="4"/>
  <c r="C3" i="4" s="1"/>
  <c r="D3" i="4" s="1"/>
  <c r="O2" i="4"/>
  <c r="N2" i="4"/>
  <c r="M2" i="4"/>
  <c r="L2" i="4"/>
  <c r="P4" i="4" s="1"/>
  <c r="K2" i="4"/>
  <c r="B13" i="4" l="1"/>
  <c r="B14" i="4" s="1"/>
  <c r="J9" i="4"/>
  <c r="B15" i="4" s="1"/>
  <c r="B17" i="4" s="1"/>
  <c r="P7" i="4"/>
  <c r="P9" i="4"/>
  <c r="B16" i="4" s="1"/>
  <c r="B11" i="4"/>
  <c r="P3" i="4"/>
  <c r="P5" i="4"/>
  <c r="P6" i="4"/>
  <c r="C9" i="1" l="1"/>
  <c r="C11" i="1" s="1"/>
  <c r="D14" i="1" l="1"/>
  <c r="E14" i="1"/>
  <c r="C14" i="1"/>
  <c r="A37" i="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5" i="2"/>
  <c r="C5" i="2" s="1"/>
  <c r="E4" i="2"/>
  <c r="H4" i="2" s="1"/>
  <c r="B5" i="2"/>
  <c r="B6" i="2" s="1"/>
  <c r="B7" i="2" s="1"/>
  <c r="B8" i="2" s="1"/>
  <c r="B9" i="2" s="1"/>
  <c r="B10" i="2" s="1"/>
  <c r="B11" i="2" s="1"/>
  <c r="B12" i="2" s="1"/>
  <c r="B13" i="2" s="1"/>
  <c r="B14" i="2" s="1"/>
  <c r="B15" i="2" s="1"/>
  <c r="B16" i="2" s="1"/>
  <c r="B17" i="2" s="1"/>
  <c r="B18" i="2" s="1"/>
  <c r="B19" i="2" s="1"/>
  <c r="B20" i="2" s="1"/>
  <c r="B21" i="2" s="1"/>
  <c r="B22" i="2" s="1"/>
  <c r="B23" i="2" s="1"/>
  <c r="B24" i="2" s="1"/>
  <c r="B25" i="2" s="1"/>
  <c r="B26" i="2" s="1"/>
  <c r="B27" i="2" s="1"/>
  <c r="A4" i="2"/>
  <c r="C4" i="2" s="1"/>
  <c r="H3" i="2"/>
  <c r="C3" i="2"/>
  <c r="B38" i="1" l="1"/>
  <c r="B37" i="1"/>
  <c r="A6" i="2"/>
  <c r="E5" i="2"/>
  <c r="E18" i="1" l="1"/>
  <c r="E6" i="2"/>
  <c r="H5" i="2"/>
  <c r="C6" i="2"/>
  <c r="B39" i="1" s="1"/>
  <c r="A7" i="2"/>
  <c r="C18" i="1"/>
  <c r="E16" i="1"/>
  <c r="G3" i="2" l="1"/>
  <c r="I3" i="2" s="1"/>
  <c r="D36" i="1" s="1"/>
  <c r="D16" i="1"/>
  <c r="D3" i="2"/>
  <c r="C7" i="2"/>
  <c r="B40" i="1" s="1"/>
  <c r="A8" i="2"/>
  <c r="E7" i="2"/>
  <c r="H6" i="2"/>
  <c r="C16" i="1"/>
  <c r="C15" i="1"/>
  <c r="D15" i="1"/>
  <c r="E15" i="1"/>
  <c r="G4" i="2" l="1"/>
  <c r="G5" i="2" s="1"/>
  <c r="F3" i="2"/>
  <c r="C36" i="1" s="1"/>
  <c r="E36" i="1" s="1"/>
  <c r="D4" i="2"/>
  <c r="H7" i="2"/>
  <c r="E8" i="2"/>
  <c r="C8" i="2"/>
  <c r="B41" i="1" s="1"/>
  <c r="A9" i="2"/>
  <c r="I4" i="2" l="1"/>
  <c r="D37" i="1" s="1"/>
  <c r="I5" i="2"/>
  <c r="D38" i="1" s="1"/>
  <c r="G6" i="2"/>
  <c r="C9" i="2"/>
  <c r="B42" i="1" s="1"/>
  <c r="A10" i="2"/>
  <c r="F4" i="2"/>
  <c r="C37" i="1" s="1"/>
  <c r="D5" i="2"/>
  <c r="H8" i="2"/>
  <c r="E9" i="2"/>
  <c r="E37" i="1" l="1"/>
  <c r="F37" i="1" s="1"/>
  <c r="B3" i="2"/>
  <c r="B36" i="1" s="1"/>
  <c r="F36" i="1" s="1"/>
  <c r="F5" i="2"/>
  <c r="C38" i="1" s="1"/>
  <c r="E38" i="1" s="1"/>
  <c r="F38" i="1" s="1"/>
  <c r="D6" i="2"/>
  <c r="G7" i="2"/>
  <c r="I6" i="2"/>
  <c r="D39" i="1" s="1"/>
  <c r="H9" i="2"/>
  <c r="E10" i="2"/>
  <c r="A11" i="2"/>
  <c r="C10" i="2"/>
  <c r="B43" i="1" s="1"/>
  <c r="C11" i="2" l="1"/>
  <c r="B44" i="1" s="1"/>
  <c r="A12" i="2"/>
  <c r="I7" i="2"/>
  <c r="D40" i="1" s="1"/>
  <c r="G8" i="2"/>
  <c r="H10" i="2"/>
  <c r="E11" i="2"/>
  <c r="F6" i="2"/>
  <c r="C39" i="1" s="1"/>
  <c r="E39" i="1" s="1"/>
  <c r="F39" i="1" s="1"/>
  <c r="D7" i="2"/>
  <c r="H11" i="2" l="1"/>
  <c r="E12" i="2"/>
  <c r="C12" i="2"/>
  <c r="B45" i="1" s="1"/>
  <c r="A13" i="2"/>
  <c r="D8" i="2"/>
  <c r="F7" i="2"/>
  <c r="C40" i="1" s="1"/>
  <c r="E40" i="1" s="1"/>
  <c r="F40" i="1" s="1"/>
  <c r="I8" i="2"/>
  <c r="D41" i="1" s="1"/>
  <c r="G9" i="2"/>
  <c r="I9" i="2" l="1"/>
  <c r="D42" i="1" s="1"/>
  <c r="G10" i="2"/>
  <c r="F8" i="2"/>
  <c r="C41" i="1" s="1"/>
  <c r="E41" i="1" s="1"/>
  <c r="F41" i="1" s="1"/>
  <c r="D9" i="2"/>
  <c r="C13" i="2"/>
  <c r="B46" i="1" s="1"/>
  <c r="A14" i="2"/>
  <c r="H12" i="2"/>
  <c r="E13" i="2"/>
  <c r="E14" i="2" l="1"/>
  <c r="H13" i="2"/>
  <c r="C14" i="2"/>
  <c r="B47" i="1" s="1"/>
  <c r="A15" i="2"/>
  <c r="I10" i="2"/>
  <c r="D43" i="1" s="1"/>
  <c r="G11" i="2"/>
  <c r="D10" i="2"/>
  <c r="F9" i="2"/>
  <c r="C42" i="1" s="1"/>
  <c r="E42" i="1" s="1"/>
  <c r="F42" i="1" s="1"/>
  <c r="I11" i="2" l="1"/>
  <c r="D44" i="1" s="1"/>
  <c r="G12" i="2"/>
  <c r="F10" i="2"/>
  <c r="C43" i="1" s="1"/>
  <c r="E43" i="1" s="1"/>
  <c r="F43" i="1" s="1"/>
  <c r="D11" i="2"/>
  <c r="C15" i="2"/>
  <c r="B48" i="1" s="1"/>
  <c r="A16" i="2"/>
  <c r="E15" i="2"/>
  <c r="H14" i="2"/>
  <c r="H15" i="2" l="1"/>
  <c r="E16" i="2"/>
  <c r="C16" i="2"/>
  <c r="B49" i="1" s="1"/>
  <c r="A17" i="2"/>
  <c r="F11" i="2"/>
  <c r="C44" i="1" s="1"/>
  <c r="E44" i="1" s="1"/>
  <c r="F44" i="1" s="1"/>
  <c r="D12" i="2"/>
  <c r="G13" i="2"/>
  <c r="I12" i="2"/>
  <c r="D45" i="1" s="1"/>
  <c r="I13" i="2" l="1"/>
  <c r="D46" i="1" s="1"/>
  <c r="G14" i="2"/>
  <c r="F12" i="2"/>
  <c r="C45" i="1" s="1"/>
  <c r="E45" i="1" s="1"/>
  <c r="F45" i="1" s="1"/>
  <c r="D13" i="2"/>
  <c r="C17" i="2"/>
  <c r="B50" i="1" s="1"/>
  <c r="A18" i="2"/>
  <c r="E17" i="2"/>
  <c r="H16" i="2"/>
  <c r="H17" i="2" l="1"/>
  <c r="E18" i="2"/>
  <c r="I14" i="2"/>
  <c r="D47" i="1" s="1"/>
  <c r="G15" i="2"/>
  <c r="A19" i="2"/>
  <c r="C18" i="2"/>
  <c r="B51" i="1" s="1"/>
  <c r="F13" i="2"/>
  <c r="C46" i="1" s="1"/>
  <c r="E46" i="1" s="1"/>
  <c r="F46" i="1" s="1"/>
  <c r="D14" i="2"/>
  <c r="F14" i="2" l="1"/>
  <c r="C47" i="1" s="1"/>
  <c r="E47" i="1" s="1"/>
  <c r="F47" i="1" s="1"/>
  <c r="D15" i="2"/>
  <c r="I15" i="2"/>
  <c r="D48" i="1" s="1"/>
  <c r="G16" i="2"/>
  <c r="C19" i="2"/>
  <c r="B52" i="1" s="1"/>
  <c r="A20" i="2"/>
  <c r="H18" i="2"/>
  <c r="E19" i="2"/>
  <c r="D16" i="2" l="1"/>
  <c r="F15" i="2"/>
  <c r="C48" i="1" s="1"/>
  <c r="E48" i="1" s="1"/>
  <c r="F48" i="1" s="1"/>
  <c r="H19" i="2"/>
  <c r="E20" i="2"/>
  <c r="A21" i="2"/>
  <c r="C20" i="2"/>
  <c r="B53" i="1" s="1"/>
  <c r="I16" i="2"/>
  <c r="D49" i="1" s="1"/>
  <c r="G17" i="2"/>
  <c r="I17" i="2" l="1"/>
  <c r="D50" i="1" s="1"/>
  <c r="G18" i="2"/>
  <c r="H20" i="2"/>
  <c r="E21" i="2"/>
  <c r="C21" i="2"/>
  <c r="B54" i="1" s="1"/>
  <c r="A22" i="2"/>
  <c r="F16" i="2"/>
  <c r="C49" i="1" s="1"/>
  <c r="E49" i="1" s="1"/>
  <c r="F49" i="1" s="1"/>
  <c r="D17" i="2"/>
  <c r="F17" i="2" l="1"/>
  <c r="C50" i="1" s="1"/>
  <c r="E50" i="1" s="1"/>
  <c r="F50" i="1" s="1"/>
  <c r="C29" i="1" s="1"/>
  <c r="D18" i="2"/>
  <c r="I18" i="2"/>
  <c r="D51" i="1" s="1"/>
  <c r="G19" i="2"/>
  <c r="C22" i="2"/>
  <c r="B55" i="1" s="1"/>
  <c r="A23" i="2"/>
  <c r="E22" i="2"/>
  <c r="H21" i="2"/>
  <c r="D29" i="1" l="1"/>
  <c r="E23" i="2"/>
  <c r="H22" i="2"/>
  <c r="F18" i="2"/>
  <c r="C51" i="1" s="1"/>
  <c r="E51" i="1" s="1"/>
  <c r="F51" i="1" s="1"/>
  <c r="D19" i="2"/>
  <c r="C23" i="2"/>
  <c r="B56" i="1" s="1"/>
  <c r="A24" i="2"/>
  <c r="I19" i="2"/>
  <c r="D52" i="1" s="1"/>
  <c r="G20" i="2"/>
  <c r="G21" i="2" l="1"/>
  <c r="I20" i="2"/>
  <c r="D53" i="1" s="1"/>
  <c r="F19" i="2"/>
  <c r="C52" i="1" s="1"/>
  <c r="E52" i="1" s="1"/>
  <c r="F52" i="1" s="1"/>
  <c r="D20" i="2"/>
  <c r="C24" i="2"/>
  <c r="B57" i="1" s="1"/>
  <c r="A25" i="2"/>
  <c r="H23" i="2"/>
  <c r="E24" i="2"/>
  <c r="E25" i="2" l="1"/>
  <c r="H24" i="2"/>
  <c r="C25" i="2"/>
  <c r="B58" i="1" s="1"/>
  <c r="A26" i="2"/>
  <c r="F20" i="2"/>
  <c r="C53" i="1" s="1"/>
  <c r="E53" i="1" s="1"/>
  <c r="F53" i="1" s="1"/>
  <c r="D21" i="2"/>
  <c r="I21" i="2"/>
  <c r="D54" i="1" s="1"/>
  <c r="G22" i="2"/>
  <c r="A27" i="2" l="1"/>
  <c r="C27" i="2" s="1"/>
  <c r="B60" i="1" s="1"/>
  <c r="C26" i="2"/>
  <c r="B59" i="1" s="1"/>
  <c r="F21" i="2"/>
  <c r="C54" i="1" s="1"/>
  <c r="E54" i="1" s="1"/>
  <c r="F54" i="1" s="1"/>
  <c r="D22" i="2"/>
  <c r="G23" i="2"/>
  <c r="I22" i="2"/>
  <c r="D55" i="1" s="1"/>
  <c r="H25" i="2"/>
  <c r="E26" i="2"/>
  <c r="F22" i="2" l="1"/>
  <c r="C55" i="1" s="1"/>
  <c r="E55" i="1" s="1"/>
  <c r="F55" i="1" s="1"/>
  <c r="D30" i="1" s="1"/>
  <c r="D23" i="2"/>
  <c r="H26" i="2"/>
  <c r="E27" i="2"/>
  <c r="H27" i="2" s="1"/>
  <c r="I23" i="2"/>
  <c r="D56" i="1" s="1"/>
  <c r="G24" i="2"/>
  <c r="C30" i="1" l="1"/>
  <c r="D24" i="2"/>
  <c r="F23" i="2"/>
  <c r="C56" i="1" s="1"/>
  <c r="E56" i="1" s="1"/>
  <c r="F56" i="1" s="1"/>
  <c r="I24" i="2"/>
  <c r="D57" i="1" s="1"/>
  <c r="G25" i="2"/>
  <c r="C27" i="1" l="1"/>
  <c r="D27" i="1" s="1"/>
  <c r="I25" i="2"/>
  <c r="D58" i="1" s="1"/>
  <c r="G26" i="2"/>
  <c r="F24" i="2"/>
  <c r="C57" i="1" s="1"/>
  <c r="E57" i="1" s="1"/>
  <c r="F57" i="1" s="1"/>
  <c r="D25" i="2"/>
  <c r="I26" i="2" l="1"/>
  <c r="D59" i="1" s="1"/>
  <c r="G27" i="2"/>
  <c r="I27" i="2" s="1"/>
  <c r="D60" i="1" s="1"/>
  <c r="D26" i="2"/>
  <c r="F25" i="2"/>
  <c r="C58" i="1" s="1"/>
  <c r="E58" i="1" s="1"/>
  <c r="F58" i="1" s="1"/>
  <c r="F26" i="2" l="1"/>
  <c r="C59" i="1" s="1"/>
  <c r="E59" i="1" s="1"/>
  <c r="F59" i="1" s="1"/>
  <c r="D27" i="2"/>
  <c r="F27" i="2" s="1"/>
  <c r="C60" i="1" s="1"/>
  <c r="E60" i="1" s="1"/>
  <c r="F60" i="1" s="1"/>
  <c r="D31" i="1" l="1"/>
  <c r="C31" i="1"/>
</calcChain>
</file>

<file path=xl/sharedStrings.xml><?xml version="1.0" encoding="utf-8"?>
<sst xmlns="http://schemas.openxmlformats.org/spreadsheetml/2006/main" count="150" uniqueCount="128">
  <si>
    <t>besparing euro per jaar</t>
  </si>
  <si>
    <t>huurverhoging per maand</t>
  </si>
  <si>
    <t>opmerking</t>
  </si>
  <si>
    <t>bron</t>
  </si>
  <si>
    <t>parameters</t>
  </si>
  <si>
    <t>% OUDE HUURDERS</t>
  </si>
  <si>
    <t>KASSTROOM DOORZETTEN HUUR NA MUTATIE</t>
  </si>
  <si>
    <t>vermogen panelen</t>
  </si>
  <si>
    <t>investering</t>
  </si>
  <si>
    <t>onderhoud</t>
  </si>
  <si>
    <t>aanbieding huurders</t>
  </si>
  <si>
    <t>project</t>
  </si>
  <si>
    <t>besparing huurders</t>
  </si>
  <si>
    <t>indexering kosten</t>
  </si>
  <si>
    <t>% van besparing</t>
  </si>
  <si>
    <t>voordeel per jaar</t>
  </si>
  <si>
    <t>15 jaar</t>
  </si>
  <si>
    <t>20 jaar</t>
  </si>
  <si>
    <t>25 jaar</t>
  </si>
  <si>
    <t>na mutatie</t>
  </si>
  <si>
    <t>huurders betalen per jaar</t>
  </si>
  <si>
    <t>kosten vervanging omvormer</t>
  </si>
  <si>
    <t>KASSTROOM zittende huurder</t>
  </si>
  <si>
    <t>% nieuwe huurder</t>
  </si>
  <si>
    <t>kasstroom nieuwe huurder</t>
  </si>
  <si>
    <t xml:space="preserve">parameters </t>
  </si>
  <si>
    <t>omvormer en accu</t>
  </si>
  <si>
    <t>investering en onderhoud</t>
  </si>
  <si>
    <t>kasstroom zittend %</t>
  </si>
  <si>
    <t>kasstroom nieuwe huurders %</t>
  </si>
  <si>
    <t>onderhoud per jaar</t>
  </si>
  <si>
    <t>aantal deelnemende woningen</t>
  </si>
  <si>
    <t xml:space="preserve">totaal investering </t>
  </si>
  <si>
    <t>baten zittende huurder</t>
  </si>
  <si>
    <t>baten nieuwe huurder</t>
  </si>
  <si>
    <t>kosten (investering, onderhoud, omvormer, accu)</t>
  </si>
  <si>
    <t>baten totaal</t>
  </si>
  <si>
    <t>disconteringsvoet</t>
  </si>
  <si>
    <t>accu a 1.000 euro per woning voor rekening investeerder na</t>
  </si>
  <si>
    <t>kasstroom</t>
  </si>
  <si>
    <t>x</t>
  </si>
  <si>
    <t>uitkomsten</t>
  </si>
  <si>
    <t>nieuwe huurders betalen %</t>
  </si>
  <si>
    <t>ncw</t>
  </si>
  <si>
    <t>irr</t>
  </si>
  <si>
    <t>indexering huur c.q. opbrengsten via servicekosten</t>
  </si>
  <si>
    <t>mutatiegraad eengezinswoningen</t>
  </si>
  <si>
    <t>onrendabel per woning</t>
  </si>
  <si>
    <t>platte daken: hoeveel panelen passen netjes</t>
  </si>
  <si>
    <t>schuine daken: hoeveel panelen passen netjes</t>
  </si>
  <si>
    <t>corporatie</t>
  </si>
  <si>
    <t>regio</t>
  </si>
  <si>
    <t>totaal</t>
  </si>
  <si>
    <t>% past</t>
  </si>
  <si>
    <t>geen</t>
  </si>
  <si>
    <t xml:space="preserve">GEM </t>
  </si>
  <si>
    <t>GEM</t>
  </si>
  <si>
    <t>kennemerwonen</t>
  </si>
  <si>
    <t>alkmaar</t>
  </si>
  <si>
    <t>vestia delft</t>
  </si>
  <si>
    <t>delft</t>
  </si>
  <si>
    <t>vestie zoetermeer</t>
  </si>
  <si>
    <t>zoetermeer</t>
  </si>
  <si>
    <t>centrada</t>
  </si>
  <si>
    <t>lelystad</t>
  </si>
  <si>
    <t>nb</t>
  </si>
  <si>
    <t>hulst</t>
  </si>
  <si>
    <t>mijande</t>
  </si>
  <si>
    <t>twente</t>
  </si>
  <si>
    <t>TOTAAL</t>
  </si>
  <si>
    <t>aantal woningen</t>
  </si>
  <si>
    <t>% past minimaal 6 panelen schaduwvrij</t>
  </si>
  <si>
    <t>selectie past: met plat dak</t>
  </si>
  <si>
    <t>selectie past: schuin dak</t>
  </si>
  <si>
    <t>gemiddelde aantal panelen plat</t>
  </si>
  <si>
    <t>gemiddelde aantal panelen schuin</t>
  </si>
  <si>
    <t>gemiddelde aantal panelen totaal</t>
  </si>
  <si>
    <t>besparing kwh per jaar gemiddeld over de looptijd</t>
  </si>
  <si>
    <t>Tiwos</t>
  </si>
  <si>
    <t xml:space="preserve">Tbv </t>
  </si>
  <si>
    <t>Breburg</t>
  </si>
  <si>
    <t>Eengezinswoningen</t>
  </si>
  <si>
    <t>Heeft al zon</t>
  </si>
  <si>
    <t>Valt om andere reden af</t>
  </si>
  <si>
    <t>Potentieel voor pv</t>
  </si>
  <si>
    <t xml:space="preserve">Investeringspotentieel </t>
  </si>
  <si>
    <t>Stel 75% technisch geschikt voor minimaal zes panelen, zonder schaduw[1]</t>
  </si>
  <si>
    <t>Jaarlijkse huuropbrengsten</t>
  </si>
  <si>
    <t>45 miljoen (jvs 2014)</t>
  </si>
  <si>
    <t>Jaarlijkse onderhoudskosten</t>
  </si>
  <si>
    <t>11 miljoen (jvs 2014)</t>
  </si>
  <si>
    <t>2014: 7 miljoen</t>
  </si>
  <si>
    <t>Maar betere inschatting is 14 miljoen [2]</t>
  </si>
  <si>
    <t>29 miljoen (tilburg en breda)</t>
  </si>
  <si>
    <t>[1] Ervaringscijfer van zonnighuren bij schouw van 4.600 woningen voor vijf corporaties (zie excel-bijlage tab aantal panelen per woning)</t>
  </si>
  <si>
    <t>[2] TBV geeft aan: 2014 is geen representatief jaar voor onderhoud, omdat er minder woningen gerenoveerd zijn dan gepland (door omstandigheden buiten onze macht). Renovatie zal normaal gesproken vier keer zo hoog liggen. Omdat renovatie een deel is van het totale onderhoud, komt dat niet 4x hoger uit, maar ruim 2x: 14,9 miljoen.</t>
  </si>
  <si>
    <t>Gereserveerd voor nul op de meter</t>
  </si>
  <si>
    <t>Stel deelname 20 % in eerste jaar</t>
  </si>
  <si>
    <t>46 miljoen (jvs 2014)</t>
  </si>
  <si>
    <t>158 (tilburg en breda samen), schatting tilburg: 80 miljoen</t>
  </si>
  <si>
    <t>TBV</t>
  </si>
  <si>
    <t>Meergezinswoningen</t>
  </si>
  <si>
    <t>aantal meters voor collectieve elektra</t>
  </si>
  <si>
    <t>aangeleverd aan MOED</t>
  </si>
  <si>
    <t>Wonen Breburg</t>
  </si>
  <si>
    <t>schatting 250-500 (door MOED)</t>
  </si>
  <si>
    <t>Eerste scan potentieel voor zon (verbruik in commercieel interessante range 4.000-50.000 kwh) : aantal meters</t>
  </si>
  <si>
    <t>past het op het dak, dakvervanging. Schatting dat 40 % overblijft</t>
  </si>
  <si>
    <t>past het op het dak? Schatting dat 60 % overblijft.</t>
  </si>
  <si>
    <t>Past het op het dak, dakvervanging. Schatting dat 40 % overblijft</t>
  </si>
  <si>
    <t>Investeringspotentie (miljoen euro)</t>
  </si>
  <si>
    <t>26 (dus 1/10e tot 1/20e is aangeleverd)</t>
  </si>
  <si>
    <t>nog kijken naar / hoeveel blijft over</t>
  </si>
  <si>
    <t>1000 tot 1250</t>
  </si>
  <si>
    <t>eerste scan potentieel - totaal verbruik (miljoen kwh / jaar)</t>
  </si>
  <si>
    <t>Schatting op te wekken met zon (miljoen kwh per jaar)</t>
  </si>
  <si>
    <t>investering met meerwerk groep en monitoring</t>
  </si>
  <si>
    <t>met zwarte panelen (= meerprijs)</t>
  </si>
  <si>
    <t>investering met proceskosten</t>
  </si>
  <si>
    <t>huurverhoging per jaar, met kostenderving niet-incasseerbaar</t>
  </si>
  <si>
    <t>energietarief euro / kwh</t>
  </si>
  <si>
    <t>investering per wattpiek incl btw</t>
  </si>
  <si>
    <t>100 euro proceskosten per deelnemende wonign</t>
  </si>
  <si>
    <t>voor calamiteiten, vervanging omvormer is los ingerekend</t>
  </si>
  <si>
    <t>afhankelijk van locatie in Nederland</t>
  </si>
  <si>
    <t>wat huurders nu gemiddeld betalen, niet het scherpste tarief waarop ingekocht kan worden</t>
  </si>
  <si>
    <t>factor 0,6 % huurderving ingerekend</t>
  </si>
  <si>
    <t>vervanging omvormer na hoeveel jaar?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</si>
</sst>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43" formatCode="_ * #,##0.00_ ;_ * \-#,##0.00_ ;_ * &quot;-&quot;??_ ;_ @_ "/>
    <numFmt numFmtId="164" formatCode="_ * #,##0_ ;_ * \-#,##0_ ;_ * &quot;-&quot;??_ ;_ @_ "/>
    <numFmt numFmtId="165" formatCode="_ [$€-413]\ * #,##0_ ;_ [$€-413]\ * \-#,##0_ ;_ [$€-413]\ * &quot;-&quot;??_ ;_ @_ "/>
    <numFmt numFmtId="166" formatCode="_ [$€-413]\ * #,##0.00_ ;_ [$€-413]\ * \-#,##0.00_ ;_ [$€-413]\ * &quot;-&quot;??_ ;_ @_ "/>
    <numFmt numFmtId="167" formatCode="0.0%"/>
    <numFmt numFmtId="168" formatCode="0.0"/>
    <numFmt numFmtId="169" formatCode="_ * #,##0.0_ ;_ * \-#,##0.0_ ;_ * &quot;-&quot;??_ ;_ @_ "/>
    <numFmt numFmtId="170" formatCode="#,##0.0"/>
    <numFmt numFmtId="171" formatCode="0.000"/>
  </numFmts>
  <fonts count="8" x14ac:knownFonts="1">
    <font>
      <sz val="11"/>
      <color theme="1"/>
      <name val="Calibri"/>
      <family val="2"/>
      <scheme val="minor"/>
    </font>
    <font>
      <sz val="11"/>
      <color theme="1"/>
      <name val="Calibri"/>
      <family val="2"/>
      <scheme val="minor"/>
    </font>
    <font>
      <sz val="11"/>
      <name val="Calibri"/>
      <family val="2"/>
      <scheme val="minor"/>
    </font>
    <font>
      <b/>
      <u/>
      <sz val="11"/>
      <color theme="1"/>
      <name val="Calibri"/>
      <family val="2"/>
      <scheme val="minor"/>
    </font>
    <font>
      <b/>
      <sz val="11"/>
      <color theme="1"/>
      <name val="Calibri"/>
      <family val="2"/>
    </font>
    <font>
      <b/>
      <u/>
      <sz val="11"/>
      <color theme="1"/>
      <name val="Calibri"/>
      <family val="2"/>
    </font>
    <font>
      <u/>
      <sz val="11"/>
      <color theme="10"/>
      <name val="Calibri"/>
      <family val="2"/>
      <scheme val="minor"/>
    </font>
    <font>
      <sz val="11"/>
      <color theme="1"/>
      <name val="Calibri"/>
      <family val="2"/>
    </font>
  </fonts>
  <fills count="2">
    <fill>
      <patternFill patternType="none"/>
    </fill>
    <fill>
      <patternFill patternType="gray125"/>
    </fill>
  </fills>
  <borders count="8">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0" fontId="6" fillId="0" borderId="0" applyNumberFormat="0" applyFill="0" applyBorder="0" applyAlignment="0" applyProtection="0"/>
  </cellStyleXfs>
  <cellXfs count="70">
    <xf numFmtId="0" fontId="0" fillId="0" borderId="0" xfId="0"/>
    <xf numFmtId="9" fontId="0" fillId="0" borderId="0" xfId="0" applyNumberFormat="1"/>
    <xf numFmtId="1" fontId="0" fillId="0" borderId="0" xfId="0" applyNumberFormat="1"/>
    <xf numFmtId="2" fontId="0" fillId="0" borderId="0" xfId="0" applyNumberFormat="1"/>
    <xf numFmtId="164" fontId="0" fillId="0" borderId="0" xfId="1" applyNumberFormat="1" applyFont="1"/>
    <xf numFmtId="165" fontId="0" fillId="0" borderId="0" xfId="0" applyNumberFormat="1"/>
    <xf numFmtId="9" fontId="0" fillId="0" borderId="0" xfId="2" applyFont="1"/>
    <xf numFmtId="10" fontId="0" fillId="0" borderId="0" xfId="0" applyNumberFormat="1" applyFill="1"/>
    <xf numFmtId="0" fontId="0" fillId="0" borderId="0" xfId="0" applyFill="1"/>
    <xf numFmtId="165" fontId="0" fillId="0" borderId="0" xfId="0" applyNumberFormat="1" applyFill="1"/>
    <xf numFmtId="164" fontId="0" fillId="0" borderId="0" xfId="0" applyNumberFormat="1"/>
    <xf numFmtId="166" fontId="0" fillId="0" borderId="0" xfId="0" applyNumberFormat="1"/>
    <xf numFmtId="167" fontId="0" fillId="0" borderId="0" xfId="0" applyNumberFormat="1"/>
    <xf numFmtId="0" fontId="2" fillId="0" borderId="0" xfId="0" applyFont="1"/>
    <xf numFmtId="166" fontId="0" fillId="0" borderId="0" xfId="0" applyNumberFormat="1" applyFill="1"/>
    <xf numFmtId="1" fontId="2" fillId="0" borderId="0" xfId="0" applyNumberFormat="1" applyFont="1" applyFill="1"/>
    <xf numFmtId="0" fontId="0" fillId="0" borderId="0" xfId="0" applyAlignment="1">
      <alignment vertical="top" wrapText="1"/>
    </xf>
    <xf numFmtId="168" fontId="0" fillId="0" borderId="0" xfId="0" applyNumberFormat="1"/>
    <xf numFmtId="9" fontId="3" fillId="0" borderId="0" xfId="2" applyFont="1"/>
    <xf numFmtId="2" fontId="3" fillId="0" borderId="0" xfId="0" applyNumberFormat="1" applyFont="1"/>
    <xf numFmtId="168" fontId="3" fillId="0" borderId="0" xfId="0" applyNumberFormat="1" applyFont="1"/>
    <xf numFmtId="169" fontId="0" fillId="0" borderId="0" xfId="1" applyNumberFormat="1" applyFont="1"/>
    <xf numFmtId="0" fontId="2" fillId="0" borderId="0" xfId="0" applyFont="1" applyFill="1"/>
    <xf numFmtId="165" fontId="2" fillId="0" borderId="0" xfId="0" applyNumberFormat="1" applyFont="1" applyFill="1"/>
    <xf numFmtId="9" fontId="2" fillId="0" borderId="0" xfId="2" applyFont="1" applyFill="1"/>
    <xf numFmtId="9" fontId="0" fillId="0" borderId="0" xfId="2" applyFont="1" applyFill="1"/>
    <xf numFmtId="9" fontId="0" fillId="0" borderId="0" xfId="0" applyNumberFormat="1" applyFill="1"/>
    <xf numFmtId="164" fontId="0" fillId="0" borderId="0" xfId="1" applyNumberFormat="1" applyFont="1" applyFill="1"/>
    <xf numFmtId="164" fontId="2" fillId="0" borderId="0" xfId="1" applyNumberFormat="1" applyFont="1" applyFill="1"/>
    <xf numFmtId="0" fontId="4" fillId="0" borderId="1" xfId="0" applyFont="1" applyBorder="1" applyAlignment="1">
      <alignment vertical="center" wrapText="1"/>
    </xf>
    <xf numFmtId="0" fontId="4" fillId="0" borderId="2" xfId="0" applyFont="1" applyBorder="1" applyAlignment="1">
      <alignment vertical="center" wrapText="1"/>
    </xf>
    <xf numFmtId="0" fontId="5" fillId="0" borderId="3" xfId="0" applyFont="1" applyBorder="1" applyAlignment="1">
      <alignment vertical="center" wrapText="1"/>
    </xf>
    <xf numFmtId="3" fontId="4" fillId="0" borderId="4" xfId="0" applyNumberFormat="1" applyFont="1" applyBorder="1" applyAlignment="1">
      <alignment vertical="center" wrapText="1"/>
    </xf>
    <xf numFmtId="0" fontId="4" fillId="0" borderId="4" xfId="0" applyFont="1" applyBorder="1" applyAlignment="1">
      <alignment vertical="center" wrapText="1"/>
    </xf>
    <xf numFmtId="0" fontId="4" fillId="0" borderId="3" xfId="0" applyFont="1" applyBorder="1" applyAlignment="1">
      <alignment horizontal="right" vertical="center" wrapText="1"/>
    </xf>
    <xf numFmtId="0" fontId="6" fillId="0" borderId="3" xfId="3" applyBorder="1" applyAlignment="1">
      <alignment horizontal="right" vertical="center" wrapText="1"/>
    </xf>
    <xf numFmtId="0" fontId="4" fillId="0" borderId="5" xfId="0" applyFont="1" applyBorder="1" applyAlignment="1">
      <alignment vertical="center" wrapText="1"/>
    </xf>
    <xf numFmtId="0" fontId="6" fillId="0" borderId="4" xfId="3" applyBorder="1" applyAlignment="1">
      <alignment vertical="center" wrapText="1"/>
    </xf>
    <xf numFmtId="0" fontId="6" fillId="0" borderId="0" xfId="3" applyAlignment="1">
      <alignment vertical="center"/>
    </xf>
    <xf numFmtId="164" fontId="4" fillId="0" borderId="4" xfId="1" applyNumberFormat="1" applyFont="1" applyBorder="1" applyAlignment="1">
      <alignment vertical="center" wrapText="1"/>
    </xf>
    <xf numFmtId="164" fontId="4" fillId="0" borderId="4" xfId="0" applyNumberFormat="1" applyFont="1" applyBorder="1" applyAlignment="1">
      <alignment vertical="center" wrapText="1"/>
    </xf>
    <xf numFmtId="169" fontId="4" fillId="0" borderId="4" xfId="0" applyNumberFormat="1" applyFont="1" applyBorder="1" applyAlignment="1">
      <alignment vertical="center" wrapText="1"/>
    </xf>
    <xf numFmtId="170" fontId="4" fillId="0" borderId="4" xfId="0" applyNumberFormat="1" applyFont="1" applyBorder="1" applyAlignment="1">
      <alignment vertical="center" wrapText="1"/>
    </xf>
    <xf numFmtId="1" fontId="0" fillId="0" borderId="0" xfId="0" applyNumberFormat="1" applyFill="1"/>
    <xf numFmtId="9" fontId="2" fillId="0" borderId="0" xfId="0" applyNumberFormat="1" applyFont="1" applyFill="1"/>
    <xf numFmtId="167" fontId="3" fillId="0" borderId="0" xfId="0" applyNumberFormat="1" applyFont="1" applyFill="1"/>
    <xf numFmtId="10" fontId="0" fillId="0" borderId="0" xfId="2" applyNumberFormat="1" applyFont="1"/>
    <xf numFmtId="0" fontId="4" fillId="0" borderId="1" xfId="0" applyFont="1" applyBorder="1" applyAlignment="1">
      <alignment horizontal="center" vertical="center" wrapText="1"/>
    </xf>
    <xf numFmtId="0" fontId="7" fillId="0" borderId="4" xfId="0" applyFont="1" applyBorder="1" applyAlignment="1">
      <alignment vertical="center" wrapText="1"/>
    </xf>
    <xf numFmtId="3" fontId="7" fillId="0" borderId="4" xfId="0" applyNumberFormat="1" applyFont="1" applyBorder="1" applyAlignment="1">
      <alignment vertical="center" wrapText="1"/>
    </xf>
    <xf numFmtId="0" fontId="7" fillId="0" borderId="5" xfId="0" applyFont="1" applyBorder="1" applyAlignment="1">
      <alignment vertical="center" wrapText="1"/>
    </xf>
    <xf numFmtId="0" fontId="7" fillId="0" borderId="3" xfId="0" applyFont="1" applyBorder="1" applyAlignment="1">
      <alignment horizontal="right" vertical="center" wrapText="1"/>
    </xf>
    <xf numFmtId="0" fontId="7" fillId="0" borderId="7" xfId="0" applyFont="1" applyBorder="1" applyAlignment="1">
      <alignment horizontal="right" vertical="center" wrapText="1"/>
    </xf>
    <xf numFmtId="0" fontId="7" fillId="0" borderId="3" xfId="0" applyFont="1" applyBorder="1" applyAlignment="1">
      <alignment vertical="center" wrapText="1"/>
    </xf>
    <xf numFmtId="0" fontId="7" fillId="0" borderId="7" xfId="0" applyFont="1" applyBorder="1" applyAlignment="1">
      <alignment vertical="center" wrapText="1"/>
    </xf>
    <xf numFmtId="169" fontId="7" fillId="0" borderId="4" xfId="1" applyNumberFormat="1" applyFont="1" applyBorder="1" applyAlignment="1">
      <alignment vertical="center" wrapText="1"/>
    </xf>
    <xf numFmtId="0" fontId="7" fillId="0" borderId="7" xfId="0" applyFont="1" applyBorder="1" applyAlignment="1">
      <alignment vertical="top" wrapText="1"/>
    </xf>
    <xf numFmtId="0" fontId="7" fillId="0" borderId="5" xfId="0" applyFont="1" applyBorder="1" applyAlignment="1">
      <alignment vertical="top" wrapText="1"/>
    </xf>
    <xf numFmtId="3" fontId="7" fillId="0" borderId="5" xfId="0" applyNumberFormat="1" applyFont="1" applyBorder="1" applyAlignment="1">
      <alignment horizontal="left" vertical="top" wrapText="1"/>
    </xf>
    <xf numFmtId="3" fontId="7" fillId="0" borderId="4" xfId="0" applyNumberFormat="1" applyFont="1" applyBorder="1" applyAlignment="1">
      <alignment horizontal="left" vertical="top" wrapText="1"/>
    </xf>
    <xf numFmtId="0" fontId="7" fillId="0" borderId="4" xfId="0" applyFont="1" applyBorder="1" applyAlignment="1">
      <alignment horizontal="left" vertical="top" wrapText="1"/>
    </xf>
    <xf numFmtId="169" fontId="7" fillId="0" borderId="4" xfId="1" applyNumberFormat="1" applyFont="1" applyBorder="1" applyAlignment="1">
      <alignment horizontal="left" vertical="top" wrapText="1"/>
    </xf>
    <xf numFmtId="169" fontId="7" fillId="0" borderId="4" xfId="0" applyNumberFormat="1" applyFont="1" applyBorder="1" applyAlignment="1">
      <alignment horizontal="left" vertical="top" wrapText="1"/>
    </xf>
    <xf numFmtId="169" fontId="7" fillId="0" borderId="5" xfId="0" applyNumberFormat="1" applyFont="1" applyBorder="1" applyAlignment="1">
      <alignment horizontal="left" vertical="top" wrapText="1"/>
    </xf>
    <xf numFmtId="168" fontId="7" fillId="0" borderId="4" xfId="0" applyNumberFormat="1" applyFont="1" applyBorder="1" applyAlignment="1">
      <alignment vertical="center" wrapText="1"/>
    </xf>
    <xf numFmtId="171" fontId="2" fillId="0" borderId="0" xfId="0" applyNumberFormat="1" applyFont="1" applyFill="1"/>
    <xf numFmtId="0" fontId="4" fillId="0" borderId="6" xfId="0" applyFont="1" applyBorder="1" applyAlignment="1">
      <alignment horizontal="right" vertical="center" wrapText="1"/>
    </xf>
    <xf numFmtId="0" fontId="4" fillId="0" borderId="3" xfId="0" applyFont="1" applyBorder="1" applyAlignment="1">
      <alignment horizontal="right" vertical="center" wrapText="1"/>
    </xf>
    <xf numFmtId="0" fontId="4" fillId="0" borderId="6" xfId="0" applyFont="1" applyBorder="1" applyAlignment="1">
      <alignment vertical="center" wrapText="1"/>
    </xf>
    <xf numFmtId="0" fontId="4" fillId="0" borderId="3" xfId="0" applyFont="1" applyBorder="1" applyAlignment="1">
      <alignment vertical="center" wrapText="1"/>
    </xf>
  </cellXfs>
  <cellStyles count="4">
    <cellStyle name="Hyperlink" xfId="3" builtinId="8"/>
    <cellStyle name="Komma" xfId="1" builtinId="3"/>
    <cellStyle name="Procent" xfId="2" builtinId="5"/>
    <cellStyle name="Standa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Kantoorthema">
  <a:themeElements>
    <a:clrScheme name="Kanto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toor">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0"/>
  <sheetViews>
    <sheetView tabSelected="1" zoomScale="70" zoomScaleNormal="70" workbookViewId="0">
      <selection activeCell="F22" sqref="F22"/>
    </sheetView>
  </sheetViews>
  <sheetFormatPr defaultRowHeight="14.5" x14ac:dyDescent="0.35"/>
  <cols>
    <col min="1" max="1" width="22" customWidth="1"/>
    <col min="2" max="2" width="48.54296875" customWidth="1"/>
    <col min="3" max="3" width="18.36328125" customWidth="1"/>
    <col min="4" max="4" width="17.08984375" customWidth="1"/>
    <col min="5" max="5" width="24.453125" customWidth="1"/>
    <col min="6" max="6" width="23.54296875" customWidth="1"/>
    <col min="7" max="7" width="20.90625" customWidth="1"/>
    <col min="8" max="8" width="30.90625" customWidth="1"/>
    <col min="9" max="9" width="20.6328125" customWidth="1"/>
  </cols>
  <sheetData>
    <row r="1" spans="1:7" x14ac:dyDescent="0.35">
      <c r="A1" t="s">
        <v>3</v>
      </c>
      <c r="C1">
        <v>6</v>
      </c>
      <c r="D1">
        <v>8</v>
      </c>
      <c r="E1">
        <v>10</v>
      </c>
      <c r="F1" t="s">
        <v>2</v>
      </c>
    </row>
    <row r="2" spans="1:7" x14ac:dyDescent="0.35">
      <c r="A2" t="s">
        <v>7</v>
      </c>
      <c r="C2" s="8">
        <f>C1*270</f>
        <v>1620</v>
      </c>
      <c r="D2" s="8">
        <f t="shared" ref="D2:E2" si="0">D1*270</f>
        <v>2160</v>
      </c>
      <c r="E2" s="8">
        <f t="shared" si="0"/>
        <v>2700</v>
      </c>
    </row>
    <row r="3" spans="1:7" x14ac:dyDescent="0.35">
      <c r="A3" t="s">
        <v>8</v>
      </c>
      <c r="B3" t="s">
        <v>116</v>
      </c>
      <c r="C3" s="9">
        <f t="shared" ref="C3:D3" si="1">C2*C4</f>
        <v>2559.6</v>
      </c>
      <c r="D3" s="9">
        <f t="shared" si="1"/>
        <v>3348</v>
      </c>
      <c r="E3" s="9">
        <f>E2*E4</f>
        <v>4050</v>
      </c>
    </row>
    <row r="4" spans="1:7" x14ac:dyDescent="0.35">
      <c r="A4" t="s">
        <v>8</v>
      </c>
      <c r="B4" t="s">
        <v>121</v>
      </c>
      <c r="C4" s="14">
        <v>1.58</v>
      </c>
      <c r="D4" s="14">
        <v>1.55</v>
      </c>
      <c r="E4" s="14">
        <v>1.5</v>
      </c>
      <c r="F4" t="s">
        <v>117</v>
      </c>
    </row>
    <row r="5" spans="1:7" x14ac:dyDescent="0.35">
      <c r="A5" t="s">
        <v>8</v>
      </c>
      <c r="B5" t="s">
        <v>118</v>
      </c>
      <c r="C5" s="9">
        <f>C3+100</f>
        <v>2659.6</v>
      </c>
      <c r="D5" s="9">
        <f t="shared" ref="D5:E5" si="2">D3+100</f>
        <v>3448</v>
      </c>
      <c r="E5" s="9">
        <f t="shared" si="2"/>
        <v>4150</v>
      </c>
      <c r="F5" t="s">
        <v>122</v>
      </c>
    </row>
    <row r="6" spans="1:7" s="8" customFormat="1" x14ac:dyDescent="0.35">
      <c r="A6" s="8" t="s">
        <v>9</v>
      </c>
      <c r="B6" s="8" t="s">
        <v>30</v>
      </c>
      <c r="C6" s="22">
        <v>30</v>
      </c>
      <c r="D6" s="22">
        <v>40</v>
      </c>
      <c r="E6" s="22">
        <v>50</v>
      </c>
      <c r="F6" s="8" t="s">
        <v>123</v>
      </c>
    </row>
    <row r="7" spans="1:7" x14ac:dyDescent="0.35">
      <c r="A7" t="s">
        <v>9</v>
      </c>
      <c r="B7" t="s">
        <v>21</v>
      </c>
      <c r="C7" s="15">
        <v>486</v>
      </c>
      <c r="D7" s="15">
        <v>648</v>
      </c>
      <c r="E7" s="15">
        <v>810</v>
      </c>
    </row>
    <row r="8" spans="1:7" x14ac:dyDescent="0.35">
      <c r="A8" t="s">
        <v>11</v>
      </c>
      <c r="B8" t="s">
        <v>31</v>
      </c>
      <c r="C8" s="43">
        <v>300</v>
      </c>
      <c r="D8" s="43">
        <v>150</v>
      </c>
      <c r="E8" s="43">
        <v>100</v>
      </c>
    </row>
    <row r="9" spans="1:7" s="8" customFormat="1" x14ac:dyDescent="0.35">
      <c r="A9" s="8" t="s">
        <v>12</v>
      </c>
      <c r="B9" s="8" t="s">
        <v>77</v>
      </c>
      <c r="C9" s="15">
        <f>0.875*C2</f>
        <v>1417.5</v>
      </c>
      <c r="D9" s="15">
        <f>0.875*D2</f>
        <v>1890</v>
      </c>
      <c r="E9" s="15">
        <f>0.875*E2</f>
        <v>2362.5</v>
      </c>
      <c r="F9" s="8" t="s">
        <v>124</v>
      </c>
    </row>
    <row r="10" spans="1:7" s="8" customFormat="1" x14ac:dyDescent="0.35">
      <c r="A10" s="8" t="s">
        <v>12</v>
      </c>
      <c r="B10" s="8" t="s">
        <v>120</v>
      </c>
      <c r="C10" s="65">
        <v>0.2</v>
      </c>
      <c r="D10" s="65">
        <f>C10</f>
        <v>0.2</v>
      </c>
      <c r="E10" s="65">
        <f>D10</f>
        <v>0.2</v>
      </c>
      <c r="F10" s="8" t="s">
        <v>125</v>
      </c>
    </row>
    <row r="11" spans="1:7" s="8" customFormat="1" x14ac:dyDescent="0.35">
      <c r="A11" s="8" t="s">
        <v>12</v>
      </c>
      <c r="B11" s="8" t="s">
        <v>0</v>
      </c>
      <c r="C11" s="23">
        <f>C9*C10</f>
        <v>283.5</v>
      </c>
      <c r="D11" s="23">
        <f t="shared" ref="D11:E11" si="3">D9*D10</f>
        <v>378</v>
      </c>
      <c r="E11" s="23">
        <f t="shared" si="3"/>
        <v>472.5</v>
      </c>
      <c r="F11" s="22"/>
    </row>
    <row r="12" spans="1:7" x14ac:dyDescent="0.35">
      <c r="C12" s="5"/>
      <c r="D12" s="5"/>
      <c r="E12" s="5"/>
      <c r="F12" s="13"/>
    </row>
    <row r="13" spans="1:7" x14ac:dyDescent="0.35">
      <c r="A13" t="s">
        <v>10</v>
      </c>
      <c r="B13" t="s">
        <v>14</v>
      </c>
      <c r="C13" s="24">
        <v>0.65</v>
      </c>
      <c r="D13" s="24">
        <f>C13</f>
        <v>0.65</v>
      </c>
      <c r="E13" s="24">
        <f>D13</f>
        <v>0.65</v>
      </c>
    </row>
    <row r="14" spans="1:7" x14ac:dyDescent="0.35">
      <c r="A14" t="s">
        <v>10</v>
      </c>
      <c r="B14" t="s">
        <v>119</v>
      </c>
      <c r="C14" s="5">
        <f>C13*C11*0.994</f>
        <v>183.16935000000001</v>
      </c>
      <c r="D14" s="5">
        <f t="shared" ref="D14:E14" si="4">D13*D11*0.994</f>
        <v>244.22580000000002</v>
      </c>
      <c r="E14" s="5">
        <f t="shared" si="4"/>
        <v>305.28224999999998</v>
      </c>
      <c r="F14" t="s">
        <v>126</v>
      </c>
      <c r="G14" s="11"/>
    </row>
    <row r="15" spans="1:7" x14ac:dyDescent="0.35">
      <c r="A15" t="s">
        <v>10</v>
      </c>
      <c r="B15" t="s">
        <v>1</v>
      </c>
      <c r="C15" s="5">
        <f>C14/12</f>
        <v>15.264112500000001</v>
      </c>
      <c r="D15" s="5">
        <f>D14/12</f>
        <v>20.352150000000002</v>
      </c>
      <c r="E15" s="5">
        <f>E14/12</f>
        <v>25.440187499999997</v>
      </c>
    </row>
    <row r="16" spans="1:7" x14ac:dyDescent="0.35">
      <c r="A16" t="s">
        <v>10</v>
      </c>
      <c r="B16" t="s">
        <v>15</v>
      </c>
      <c r="C16" s="5">
        <f>C11-C14</f>
        <v>100.33064999999999</v>
      </c>
      <c r="D16" s="5">
        <f>D11-D14</f>
        <v>133.77419999999998</v>
      </c>
      <c r="E16" s="5">
        <f>E11-E14</f>
        <v>167.21775000000002</v>
      </c>
    </row>
    <row r="17" spans="1:8" s="8" customFormat="1" x14ac:dyDescent="0.35">
      <c r="A17" s="8" t="s">
        <v>19</v>
      </c>
      <c r="B17" s="8" t="s">
        <v>42</v>
      </c>
      <c r="C17" s="25">
        <v>0.65</v>
      </c>
      <c r="D17" s="25">
        <v>0.65</v>
      </c>
      <c r="E17" s="25">
        <v>0.65</v>
      </c>
      <c r="F17" s="26"/>
      <c r="G17" s="27"/>
    </row>
    <row r="18" spans="1:8" x14ac:dyDescent="0.35">
      <c r="A18" t="s">
        <v>19</v>
      </c>
      <c r="B18" t="s">
        <v>20</v>
      </c>
      <c r="C18" s="5">
        <f>C17*C11</f>
        <v>184.27500000000001</v>
      </c>
      <c r="D18" s="5">
        <f t="shared" ref="D18" si="5">D17*D11</f>
        <v>245.70000000000002</v>
      </c>
      <c r="E18" s="5">
        <f>E17*E11</f>
        <v>307.125</v>
      </c>
    </row>
    <row r="19" spans="1:8" x14ac:dyDescent="0.35">
      <c r="A19" t="s">
        <v>4</v>
      </c>
      <c r="B19" t="s">
        <v>46</v>
      </c>
      <c r="C19" s="44">
        <v>0.06</v>
      </c>
      <c r="D19" s="1"/>
      <c r="E19" s="1"/>
    </row>
    <row r="20" spans="1:8" x14ac:dyDescent="0.35">
      <c r="A20" t="s">
        <v>4</v>
      </c>
      <c r="B20" t="s">
        <v>127</v>
      </c>
      <c r="C20" s="27">
        <v>12</v>
      </c>
      <c r="D20" s="1"/>
      <c r="E20" s="1"/>
      <c r="F20" s="1"/>
      <c r="G20" s="4"/>
    </row>
    <row r="21" spans="1:8" hidden="1" x14ac:dyDescent="0.35">
      <c r="A21" t="s">
        <v>25</v>
      </c>
      <c r="B21" t="s">
        <v>38</v>
      </c>
      <c r="C21" s="28">
        <v>26</v>
      </c>
      <c r="D21" s="1"/>
      <c r="E21" s="1"/>
      <c r="F21" s="1"/>
    </row>
    <row r="22" spans="1:8" x14ac:dyDescent="0.35">
      <c r="A22" t="s">
        <v>4</v>
      </c>
      <c r="B22" t="s">
        <v>45</v>
      </c>
      <c r="C22" s="26">
        <v>0.02</v>
      </c>
      <c r="D22" s="1"/>
      <c r="E22" s="1"/>
      <c r="F22" s="1"/>
      <c r="G22" s="46"/>
    </row>
    <row r="23" spans="1:8" x14ac:dyDescent="0.35">
      <c r="A23" t="s">
        <v>4</v>
      </c>
      <c r="B23" t="s">
        <v>13</v>
      </c>
      <c r="C23" s="26">
        <v>0.02</v>
      </c>
      <c r="D23" s="1"/>
      <c r="E23" s="1"/>
      <c r="F23" s="1"/>
      <c r="G23" s="4"/>
    </row>
    <row r="24" spans="1:8" x14ac:dyDescent="0.35">
      <c r="A24" t="s">
        <v>4</v>
      </c>
      <c r="B24" t="s">
        <v>37</v>
      </c>
      <c r="C24" s="7">
        <v>0.04</v>
      </c>
      <c r="D24" s="1"/>
      <c r="E24" s="1"/>
      <c r="F24" s="21"/>
      <c r="G24" s="4"/>
      <c r="H24" s="10"/>
    </row>
    <row r="25" spans="1:8" x14ac:dyDescent="0.35">
      <c r="B25" s="5"/>
      <c r="C25" s="7"/>
      <c r="D25" s="1"/>
      <c r="E25" s="1"/>
      <c r="F25" s="1"/>
      <c r="G25" s="1"/>
    </row>
    <row r="26" spans="1:8" x14ac:dyDescent="0.35">
      <c r="A26" t="s">
        <v>41</v>
      </c>
      <c r="B26" t="s">
        <v>32</v>
      </c>
      <c r="C26" s="4">
        <f>C8*C5+D8*D5+E8*E5</f>
        <v>1730080</v>
      </c>
    </row>
    <row r="27" spans="1:8" hidden="1" x14ac:dyDescent="0.35">
      <c r="B27" t="s">
        <v>47</v>
      </c>
      <c r="C27" s="4">
        <f>C30/C8</f>
        <v>-643.3639492042596</v>
      </c>
      <c r="D27">
        <f>C27/C5</f>
        <v>-0.24190252263658429</v>
      </c>
    </row>
    <row r="28" spans="1:8" x14ac:dyDescent="0.35">
      <c r="A28" t="s">
        <v>41</v>
      </c>
      <c r="C28" s="4" t="s">
        <v>43</v>
      </c>
      <c r="D28" s="4" t="s">
        <v>44</v>
      </c>
    </row>
    <row r="29" spans="1:8" x14ac:dyDescent="0.35">
      <c r="A29" t="s">
        <v>41</v>
      </c>
      <c r="B29" t="s">
        <v>16</v>
      </c>
      <c r="C29" s="4">
        <f>NPV(C24,F36:F50)</f>
        <v>-549052.22642968735</v>
      </c>
      <c r="D29" s="12">
        <f>IRR(F36:F50)</f>
        <v>-2.3708838271066401E-2</v>
      </c>
    </row>
    <row r="30" spans="1:8" x14ac:dyDescent="0.35">
      <c r="A30" t="s">
        <v>41</v>
      </c>
      <c r="B30" t="s">
        <v>17</v>
      </c>
      <c r="C30" s="4">
        <f>NPV(C24,F36:F55)</f>
        <v>-193009.18476127789</v>
      </c>
      <c r="D30" s="45">
        <f>IRR(F36:F55)</f>
        <v>2.539980109191986E-2</v>
      </c>
    </row>
    <row r="31" spans="1:8" x14ac:dyDescent="0.35">
      <c r="A31" t="s">
        <v>41</v>
      </c>
      <c r="B31" t="s">
        <v>18</v>
      </c>
      <c r="C31" s="4">
        <f>NPV(C24,F36:F60)</f>
        <v>130306.87457547708</v>
      </c>
      <c r="D31" s="12">
        <f>IRR(F36:F60)</f>
        <v>4.7364637247911956E-2</v>
      </c>
    </row>
    <row r="32" spans="1:8" x14ac:dyDescent="0.35">
      <c r="C32" s="4"/>
    </row>
    <row r="33" spans="1:6" x14ac:dyDescent="0.35">
      <c r="C33" s="3"/>
      <c r="E33" s="6"/>
    </row>
    <row r="34" spans="1:6" x14ac:dyDescent="0.35">
      <c r="A34" t="s">
        <v>6</v>
      </c>
    </row>
    <row r="35" spans="1:6" x14ac:dyDescent="0.35">
      <c r="B35" t="s">
        <v>35</v>
      </c>
      <c r="C35" t="s">
        <v>33</v>
      </c>
      <c r="D35" t="s">
        <v>34</v>
      </c>
      <c r="E35" t="s">
        <v>36</v>
      </c>
      <c r="F35" t="s">
        <v>39</v>
      </c>
    </row>
    <row r="36" spans="1:6" x14ac:dyDescent="0.35">
      <c r="A36">
        <v>1</v>
      </c>
      <c r="B36" s="4">
        <f>'kasstromen achtergrond'!B3+'kasstromen achtergrond'!C3</f>
        <v>-1730080</v>
      </c>
      <c r="C36" s="4">
        <f>'kasstromen achtergrond'!F3</f>
        <v>122112.9</v>
      </c>
      <c r="D36" s="4">
        <f>'kasstromen achtergrond'!I3</f>
        <v>0</v>
      </c>
      <c r="E36" s="10">
        <f>C36+D36</f>
        <v>122112.9</v>
      </c>
      <c r="F36" s="10">
        <f>E36+B36</f>
        <v>-1607967.1</v>
      </c>
    </row>
    <row r="37" spans="1:6" x14ac:dyDescent="0.35">
      <c r="A37">
        <f>A36+1</f>
        <v>2</v>
      </c>
      <c r="B37" s="4">
        <f>'kasstromen achtergrond'!B4+'kasstromen achtergrond'!C4</f>
        <v>-20000</v>
      </c>
      <c r="C37" s="4">
        <f>'kasstromen achtergrond'!F4</f>
        <v>117081.84851999999</v>
      </c>
      <c r="D37" s="4">
        <f>'kasstromen achtergrond'!I4</f>
        <v>7518.4200000000064</v>
      </c>
      <c r="E37" s="10">
        <f t="shared" ref="E37:E60" si="6">C37+D37</f>
        <v>124600.26852</v>
      </c>
      <c r="F37" s="10">
        <f t="shared" ref="F37:F60" si="7">E37+B37</f>
        <v>104600.26852</v>
      </c>
    </row>
    <row r="38" spans="1:6" x14ac:dyDescent="0.35">
      <c r="A38">
        <f t="shared" ref="A38:A59" si="8">A37+1</f>
        <v>3</v>
      </c>
      <c r="B38" s="4">
        <f>'kasstromen achtergrond'!B5+'kasstromen achtergrond'!C5</f>
        <v>-20400</v>
      </c>
      <c r="C38" s="4">
        <f>'kasstromen achtergrond'!F5</f>
        <v>112258.07636097599</v>
      </c>
      <c r="D38" s="4">
        <f>'kasstromen achtergrond'!I5</f>
        <v>14877.449496000008</v>
      </c>
      <c r="E38" s="10">
        <f t="shared" si="6"/>
        <v>127135.52585697599</v>
      </c>
      <c r="F38" s="10">
        <f t="shared" si="7"/>
        <v>106735.52585697599</v>
      </c>
    </row>
    <row r="39" spans="1:6" x14ac:dyDescent="0.35">
      <c r="A39">
        <f t="shared" si="8"/>
        <v>4</v>
      </c>
      <c r="B39" s="4">
        <f>'kasstromen achtergrond'!B6+'kasstromen achtergrond'!C6</f>
        <v>-20808</v>
      </c>
      <c r="C39" s="4">
        <f>'kasstromen achtergrond'!F6</f>
        <v>107633.04361490377</v>
      </c>
      <c r="D39" s="4">
        <f>'kasstromen achtergrond'!I6</f>
        <v>22086.662744764817</v>
      </c>
      <c r="E39" s="10">
        <f t="shared" si="6"/>
        <v>129719.70635966859</v>
      </c>
      <c r="F39" s="10">
        <f t="shared" si="7"/>
        <v>108911.70635966859</v>
      </c>
    </row>
    <row r="40" spans="1:6" x14ac:dyDescent="0.35">
      <c r="A40">
        <f t="shared" si="8"/>
        <v>5</v>
      </c>
      <c r="B40" s="4">
        <f>'kasstromen achtergrond'!B7+'kasstromen achtergrond'!C7</f>
        <v>-21224.16</v>
      </c>
      <c r="C40" s="4">
        <f>'kasstromen achtergrond'!F7</f>
        <v>103198.56221796972</v>
      </c>
      <c r="D40" s="4">
        <f>'kasstromen achtergrond'!I7</f>
        <v>29155.299691040516</v>
      </c>
      <c r="E40" s="10">
        <f t="shared" si="6"/>
        <v>132353.86190901024</v>
      </c>
      <c r="F40" s="10">
        <f t="shared" si="7"/>
        <v>111129.70190901024</v>
      </c>
    </row>
    <row r="41" spans="1:6" x14ac:dyDescent="0.35">
      <c r="A41">
        <f t="shared" si="8"/>
        <v>6</v>
      </c>
      <c r="B41" s="4">
        <f>'kasstromen achtergrond'!B8+'kasstromen achtergrond'!C8</f>
        <v>-21648.643199999999</v>
      </c>
      <c r="C41" s="4">
        <f>'kasstromen achtergrond'!F8</f>
        <v>98946.781454589363</v>
      </c>
      <c r="D41" s="4">
        <f>'kasstromen achtergrond'!I8</f>
        <v>36092.280944156853</v>
      </c>
      <c r="E41" s="10">
        <f t="shared" si="6"/>
        <v>135039.0623987462</v>
      </c>
      <c r="F41" s="10">
        <f t="shared" si="7"/>
        <v>113390.41919874621</v>
      </c>
    </row>
    <row r="42" spans="1:6" x14ac:dyDescent="0.35">
      <c r="A42">
        <f t="shared" si="8"/>
        <v>7</v>
      </c>
      <c r="B42" s="4">
        <f>'kasstromen achtergrond'!B9+'kasstromen achtergrond'!C9</f>
        <v>-22081.616063999998</v>
      </c>
      <c r="C42" s="4">
        <f>'kasstromen achtergrond'!F9</f>
        <v>94870.174058660283</v>
      </c>
      <c r="D42" s="4">
        <f>'kasstromen achtergrond'!I9</f>
        <v>42906.222161652549</v>
      </c>
      <c r="E42" s="10">
        <f t="shared" si="6"/>
        <v>137776.39622031283</v>
      </c>
      <c r="F42" s="10">
        <f t="shared" si="7"/>
        <v>115694.78015631283</v>
      </c>
    </row>
    <row r="43" spans="1:6" x14ac:dyDescent="0.35">
      <c r="A43">
        <f t="shared" si="8"/>
        <v>8</v>
      </c>
      <c r="B43" s="4">
        <f>'kasstromen achtergrond'!B10+'kasstromen achtergrond'!C10</f>
        <v>-22523.24838528</v>
      </c>
      <c r="C43" s="4">
        <f>'kasstromen achtergrond'!F10</f>
        <v>90961.522887443483</v>
      </c>
      <c r="D43" s="4">
        <f>'kasstromen achtergrond'!I10</f>
        <v>49605.447864835311</v>
      </c>
      <c r="E43" s="10">
        <f t="shared" si="6"/>
        <v>140566.97075227881</v>
      </c>
      <c r="F43" s="10">
        <f t="shared" si="7"/>
        <v>118043.72236699882</v>
      </c>
    </row>
    <row r="44" spans="1:6" x14ac:dyDescent="0.35">
      <c r="A44">
        <f t="shared" si="8"/>
        <v>9</v>
      </c>
      <c r="B44" s="4">
        <f>'kasstromen achtergrond'!B11+'kasstromen achtergrond'!C11</f>
        <v>-22973.7133529856</v>
      </c>
      <c r="C44" s="4">
        <f>'kasstromen achtergrond'!F11</f>
        <v>87213.908144480811</v>
      </c>
      <c r="D44" s="4">
        <f>'kasstromen achtergrond'!I11</f>
        <v>56198.004710171801</v>
      </c>
      <c r="E44" s="10">
        <f t="shared" si="6"/>
        <v>143411.91285465262</v>
      </c>
      <c r="F44" s="10">
        <f t="shared" si="7"/>
        <v>120438.19950166703</v>
      </c>
    </row>
    <row r="45" spans="1:6" x14ac:dyDescent="0.35">
      <c r="A45">
        <f t="shared" si="8"/>
        <v>10</v>
      </c>
      <c r="B45" s="4">
        <f>'kasstromen achtergrond'!B12+'kasstromen achtergrond'!C12</f>
        <v>-23433.187620045312</v>
      </c>
      <c r="C45" s="4">
        <f>'kasstromen achtergrond'!F12</f>
        <v>83620.695128928201</v>
      </c>
      <c r="D45" s="4">
        <f>'kasstromen achtergrond'!I12</f>
        <v>62691.674239427783</v>
      </c>
      <c r="E45" s="10">
        <f t="shared" si="6"/>
        <v>146312.36936835598</v>
      </c>
      <c r="F45" s="10">
        <f t="shared" si="7"/>
        <v>122879.18174831067</v>
      </c>
    </row>
    <row r="46" spans="1:6" x14ac:dyDescent="0.35">
      <c r="A46">
        <f t="shared" si="8"/>
        <v>11</v>
      </c>
      <c r="B46" s="4">
        <f>'kasstromen achtergrond'!B13+'kasstromen achtergrond'!C13</f>
        <v>-23901.851372446217</v>
      </c>
      <c r="C46" s="4">
        <f>'kasstromen achtergrond'!F13</f>
        <v>80175.522489616356</v>
      </c>
      <c r="D46" s="4">
        <f>'kasstromen achtergrond'!I13</f>
        <v>69093.985130544723</v>
      </c>
      <c r="E46" s="10">
        <f t="shared" si="6"/>
        <v>149269.50762016108</v>
      </c>
      <c r="F46" s="10">
        <f t="shared" si="7"/>
        <v>125367.65624771485</v>
      </c>
    </row>
    <row r="47" spans="1:6" x14ac:dyDescent="0.35">
      <c r="A47">
        <f t="shared" si="8"/>
        <v>12</v>
      </c>
      <c r="B47" s="4">
        <f>'kasstromen achtergrond'!B14+'kasstromen achtergrond'!C14</f>
        <v>-348379.88839989516</v>
      </c>
      <c r="C47" s="4">
        <f>'kasstromen achtergrond'!F14</f>
        <v>76872.290963044157</v>
      </c>
      <c r="D47" s="4">
        <f>'kasstromen achtergrond'!I14</f>
        <v>75412.224970343261</v>
      </c>
      <c r="E47" s="10">
        <f t="shared" si="6"/>
        <v>152284.51593338742</v>
      </c>
      <c r="F47" s="10">
        <f t="shared" si="7"/>
        <v>-196095.37246650775</v>
      </c>
    </row>
    <row r="48" spans="1:6" x14ac:dyDescent="0.35">
      <c r="A48">
        <f t="shared" si="8"/>
        <v>13</v>
      </c>
      <c r="B48" s="4">
        <f>'kasstromen achtergrond'!B15+'kasstromen achtergrond'!C15</f>
        <v>-24867.486167893047</v>
      </c>
      <c r="C48" s="4">
        <f>'kasstromen achtergrond'!F15</f>
        <v>73705.152575366737</v>
      </c>
      <c r="D48" s="4">
        <f>'kasstromen achtergrond'!I15</f>
        <v>81653.451569285651</v>
      </c>
      <c r="E48" s="10">
        <f t="shared" si="6"/>
        <v>155358.60414465237</v>
      </c>
      <c r="F48" s="10">
        <f t="shared" si="7"/>
        <v>130491.11797675933</v>
      </c>
    </row>
    <row r="49" spans="1:7" x14ac:dyDescent="0.35">
      <c r="A49">
        <f t="shared" si="8"/>
        <v>14</v>
      </c>
      <c r="B49" s="4">
        <f>'kasstromen achtergrond'!B16+'kasstromen achtergrond'!C16</f>
        <v>-25364.835891250907</v>
      </c>
      <c r="C49" s="4">
        <f>'kasstromen achtergrond'!F16</f>
        <v>70668.500289261618</v>
      </c>
      <c r="D49" s="4">
        <f>'kasstromen achtergrond'!I16</f>
        <v>87824.503837706012</v>
      </c>
      <c r="E49" s="10">
        <f t="shared" si="6"/>
        <v>158493.00412696763</v>
      </c>
      <c r="F49" s="10">
        <f t="shared" si="7"/>
        <v>133128.16823571673</v>
      </c>
    </row>
    <row r="50" spans="1:7" x14ac:dyDescent="0.35">
      <c r="A50">
        <f t="shared" si="8"/>
        <v>15</v>
      </c>
      <c r="B50" s="4">
        <f>'kasstromen achtergrond'!B17+'kasstromen achtergrond'!C17</f>
        <v>-25872.132609075925</v>
      </c>
      <c r="C50" s="4">
        <f>'kasstromen achtergrond'!F17</f>
        <v>67756.958077344054</v>
      </c>
      <c r="D50" s="4">
        <f>'kasstromen achtergrond'!I17</f>
        <v>93932.012242128971</v>
      </c>
      <c r="E50" s="10">
        <f t="shared" si="6"/>
        <v>161688.97031947301</v>
      </c>
      <c r="F50" s="10">
        <f t="shared" si="7"/>
        <v>135816.83771039709</v>
      </c>
      <c r="G50" t="s">
        <v>40</v>
      </c>
    </row>
    <row r="51" spans="1:7" x14ac:dyDescent="0.35">
      <c r="A51">
        <f t="shared" si="8"/>
        <v>16</v>
      </c>
      <c r="B51" s="4">
        <f>'kasstromen achtergrond'!B18+'kasstromen achtergrond'!C18</f>
        <v>-26389.575261257443</v>
      </c>
      <c r="C51" s="4">
        <f>'kasstromen achtergrond'!F18</f>
        <v>64965.371404557467</v>
      </c>
      <c r="D51" s="4">
        <f>'kasstromen achtergrond'!I18</f>
        <v>99982.408859540432</v>
      </c>
      <c r="E51" s="10">
        <f t="shared" si="6"/>
        <v>164947.78026409791</v>
      </c>
      <c r="F51" s="10">
        <f t="shared" si="7"/>
        <v>138558.20500284046</v>
      </c>
    </row>
    <row r="52" spans="1:7" x14ac:dyDescent="0.35">
      <c r="A52">
        <f t="shared" si="8"/>
        <v>17</v>
      </c>
      <c r="B52" s="4">
        <f>'kasstromen achtergrond'!B19+'kasstromen achtergrond'!C19</f>
        <v>-26917.366766482592</v>
      </c>
      <c r="C52" s="4">
        <f>'kasstromen achtergrond'!F19</f>
        <v>62288.798102689696</v>
      </c>
      <c r="D52" s="4">
        <f>'kasstromen achtergrond'!I19</f>
        <v>105981.93704675029</v>
      </c>
      <c r="E52" s="10">
        <f t="shared" si="6"/>
        <v>168270.73514943998</v>
      </c>
      <c r="F52" s="10">
        <f t="shared" si="7"/>
        <v>141353.36838295739</v>
      </c>
    </row>
    <row r="53" spans="1:7" x14ac:dyDescent="0.35">
      <c r="A53">
        <f t="shared" si="8"/>
        <v>18</v>
      </c>
      <c r="B53" s="4">
        <f>'kasstromen achtergrond'!B20+'kasstromen achtergrond'!C20</f>
        <v>-27455.714101812246</v>
      </c>
      <c r="C53" s="4">
        <f>'kasstromen achtergrond'!F20</f>
        <v>59722.499620858871</v>
      </c>
      <c r="D53" s="4">
        <f>'kasstromen achtergrond'!I20</f>
        <v>111936.66074129153</v>
      </c>
      <c r="E53" s="10">
        <f t="shared" si="6"/>
        <v>171659.1603621504</v>
      </c>
      <c r="F53" s="10">
        <f t="shared" si="7"/>
        <v>144203.44626033815</v>
      </c>
    </row>
    <row r="54" spans="1:7" x14ac:dyDescent="0.35">
      <c r="A54">
        <f t="shared" si="8"/>
        <v>19</v>
      </c>
      <c r="B54" s="4">
        <f>'kasstromen achtergrond'!B21+'kasstromen achtergrond'!C21</f>
        <v>-28004.828383848489</v>
      </c>
      <c r="C54" s="4">
        <f>'kasstromen achtergrond'!F21</f>
        <v>57261.932636479483</v>
      </c>
      <c r="D54" s="4">
        <f>'kasstromen achtergrond'!I21</f>
        <v>117852.47340963506</v>
      </c>
      <c r="E54" s="10">
        <f t="shared" si="6"/>
        <v>175114.40604611454</v>
      </c>
      <c r="F54" s="10">
        <f t="shared" si="7"/>
        <v>147109.57766226606</v>
      </c>
    </row>
    <row r="55" spans="1:7" x14ac:dyDescent="0.35">
      <c r="A55">
        <f t="shared" si="8"/>
        <v>20</v>
      </c>
      <c r="B55" s="4">
        <f>'kasstromen achtergrond'!B22+'kasstromen achtergrond'!C22</f>
        <v>-28564.92495152546</v>
      </c>
      <c r="C55" s="4">
        <f>'kasstromen achtergrond'!F22</f>
        <v>54902.741011856524</v>
      </c>
      <c r="D55" s="4">
        <f>'kasstromen achtergrond'!I22</f>
        <v>123735.1066578605</v>
      </c>
      <c r="E55" s="10">
        <f t="shared" si="6"/>
        <v>178637.84766971701</v>
      </c>
      <c r="F55" s="10">
        <f t="shared" si="7"/>
        <v>150072.92271819155</v>
      </c>
      <c r="G55" t="s">
        <v>40</v>
      </c>
    </row>
    <row r="56" spans="1:7" x14ac:dyDescent="0.35">
      <c r="A56">
        <f t="shared" si="8"/>
        <v>21</v>
      </c>
      <c r="B56" s="4">
        <f>'kasstromen achtergrond'!B23+'kasstromen achtergrond'!C23</f>
        <v>-29136.223450555968</v>
      </c>
      <c r="C56" s="4">
        <f>'kasstromen achtergrond'!F23</f>
        <v>52640.748082168029</v>
      </c>
      <c r="D56" s="4">
        <f>'kasstromen achtergrond'!I23</f>
        <v>129590.1385193131</v>
      </c>
      <c r="E56" s="10">
        <f t="shared" si="6"/>
        <v>182230.88660148112</v>
      </c>
      <c r="F56" s="10">
        <f t="shared" si="7"/>
        <v>153094.66315092516</v>
      </c>
    </row>
    <row r="57" spans="1:7" x14ac:dyDescent="0.35">
      <c r="A57">
        <f t="shared" si="8"/>
        <v>22</v>
      </c>
      <c r="B57" s="4">
        <f>'kasstromen achtergrond'!B24+'kasstromen achtergrond'!C24</f>
        <v>-29718.947919567087</v>
      </c>
      <c r="C57" s="4">
        <f>'kasstromen achtergrond'!F24</f>
        <v>50471.949261182708</v>
      </c>
      <c r="D57" s="4">
        <f>'kasstromen achtergrond'!I24</f>
        <v>135423.001433189</v>
      </c>
      <c r="E57" s="10">
        <f t="shared" si="6"/>
        <v>185894.95069437171</v>
      </c>
      <c r="F57" s="10">
        <f t="shared" si="7"/>
        <v>156176.00277480463</v>
      </c>
    </row>
    <row r="58" spans="1:7" x14ac:dyDescent="0.35">
      <c r="A58">
        <f t="shared" si="8"/>
        <v>23</v>
      </c>
      <c r="B58" s="4">
        <f>'kasstromen achtergrond'!B25+'kasstromen achtergrond'!C25</f>
        <v>-30313.326877958429</v>
      </c>
      <c r="C58" s="4">
        <f>'kasstromen achtergrond'!F25</f>
        <v>48392.504951621981</v>
      </c>
      <c r="D58" s="4">
        <f>'kasstromen achtergrond'!I25</f>
        <v>141238.98992743061</v>
      </c>
      <c r="E58" s="10">
        <f t="shared" si="6"/>
        <v>189631.4948790526</v>
      </c>
      <c r="F58" s="10">
        <f t="shared" si="7"/>
        <v>159318.16800109416</v>
      </c>
    </row>
    <row r="59" spans="1:7" x14ac:dyDescent="0.35">
      <c r="A59">
        <f t="shared" si="8"/>
        <v>24</v>
      </c>
      <c r="B59" s="4">
        <f>'kasstromen achtergrond'!B26+'kasstromen achtergrond'!C26</f>
        <v>-30919.593415517596</v>
      </c>
      <c r="C59" s="4">
        <f>'kasstromen achtergrond'!F26</f>
        <v>46398.733747615159</v>
      </c>
      <c r="D59" s="4">
        <f>'kasstromen achtergrond'!I26</f>
        <v>147043.26801877527</v>
      </c>
      <c r="E59" s="10">
        <f t="shared" si="6"/>
        <v>193442.00176639043</v>
      </c>
      <c r="F59" s="10">
        <f t="shared" si="7"/>
        <v>162522.40835087284</v>
      </c>
    </row>
    <row r="60" spans="1:7" x14ac:dyDescent="0.35">
      <c r="A60">
        <f>A59+1</f>
        <v>25</v>
      </c>
      <c r="B60" s="4">
        <f>'kasstromen achtergrond'!B27+'kasstromen achtergrond'!C27</f>
        <v>-31537.985283827948</v>
      </c>
      <c r="C60" s="4">
        <f>'kasstromen achtergrond'!F27</f>
        <v>44487.105917213405</v>
      </c>
      <c r="D60" s="4">
        <f>'kasstromen achtergrond'!I27</f>
        <v>152840.87634228365</v>
      </c>
      <c r="E60" s="10">
        <f t="shared" si="6"/>
        <v>197327.98225949705</v>
      </c>
      <c r="F60" s="10">
        <f t="shared" si="7"/>
        <v>165789.99697566911</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27"/>
  <sheetViews>
    <sheetView workbookViewId="0">
      <selection activeCell="B5" sqref="B5"/>
    </sheetView>
  </sheetViews>
  <sheetFormatPr defaultRowHeight="14.5" x14ac:dyDescent="0.35"/>
  <cols>
    <col min="2" max="2" width="21.90625" bestFit="1" customWidth="1"/>
    <col min="3" max="3" width="16.36328125" bestFit="1" customWidth="1"/>
    <col min="4" max="4" width="25.54296875" bestFit="1" customWidth="1"/>
    <col min="5" max="6" width="17.6328125" bestFit="1" customWidth="1"/>
    <col min="7" max="7" width="23" bestFit="1" customWidth="1"/>
    <col min="9" max="9" width="25.6328125" bestFit="1" customWidth="1"/>
  </cols>
  <sheetData>
    <row r="2" spans="1:9" x14ac:dyDescent="0.35">
      <c r="B2" s="3" t="s">
        <v>27</v>
      </c>
      <c r="C2" t="s">
        <v>26</v>
      </c>
      <c r="D2" t="s">
        <v>22</v>
      </c>
      <c r="E2" t="s">
        <v>5</v>
      </c>
      <c r="F2" t="s">
        <v>28</v>
      </c>
      <c r="G2" t="s">
        <v>24</v>
      </c>
      <c r="H2" t="s">
        <v>23</v>
      </c>
      <c r="I2" t="s">
        <v>29</v>
      </c>
    </row>
    <row r="3" spans="1:9" x14ac:dyDescent="0.35">
      <c r="A3">
        <v>1</v>
      </c>
      <c r="B3" s="4">
        <f>-rekenmodel!C26</f>
        <v>-1730080</v>
      </c>
      <c r="C3" s="2">
        <f>-IF(A3=rekenmodel!$C$20,(rekenmodel!$C$7*rekenmodel!$C$8+rekenmodel!$D$7*rekenmodel!$D$8+rekenmodel!$E$7*rekenmodel!$E$8),0)-IF(A3=rekenmodel!$C$21,1000*SUM(rekenmodel!$C$8:$E$8),0)</f>
        <v>0</v>
      </c>
      <c r="D3" s="4">
        <f>rekenmodel!C14*rekenmodel!C8+rekenmodel!D14*rekenmodel!D8+rekenmodel!E14*rekenmodel!E8</f>
        <v>122112.9</v>
      </c>
      <c r="E3" s="1">
        <v>1</v>
      </c>
      <c r="F3" s="4">
        <f t="shared" ref="F3:F27" si="0">D3*E3</f>
        <v>122112.9</v>
      </c>
      <c r="G3" s="4">
        <f>rekenmodel!C18*rekenmodel!C8+rekenmodel!D18*rekenmodel!D8+rekenmodel!E18*rekenmodel!E8</f>
        <v>122850</v>
      </c>
      <c r="H3" s="6">
        <f t="shared" ref="H3:H27" si="1">1-E3</f>
        <v>0</v>
      </c>
      <c r="I3" s="10">
        <f t="shared" ref="I3:I27" si="2">G3*H3</f>
        <v>0</v>
      </c>
    </row>
    <row r="4" spans="1:9" x14ac:dyDescent="0.35">
      <c r="A4">
        <f t="shared" ref="A4:A27" si="3">A3+1</f>
        <v>2</v>
      </c>
      <c r="B4" s="4">
        <f>-(rekenmodel!C6*rekenmodel!C8+rekenmodel!D6*rekenmodel!D8+rekenmodel!E6*rekenmodel!E8)</f>
        <v>-20000</v>
      </c>
      <c r="C4" s="2">
        <f>-IF(A4=rekenmodel!$C$20,(rekenmodel!$C$7*rekenmodel!$C$8+rekenmodel!$D$7*rekenmodel!$D$8+rekenmodel!$E$7*rekenmodel!$E$8),0)-IF(A4=rekenmodel!$C$21,1000*SUM(rekenmodel!$C$8:$E$8),0)</f>
        <v>0</v>
      </c>
      <c r="D4" s="4">
        <f>D3*(1+rekenmodel!$C$22)</f>
        <v>124555.158</v>
      </c>
      <c r="E4" s="6">
        <f>E3*(1-rekenmodel!$C$19)</f>
        <v>0.94</v>
      </c>
      <c r="F4" s="4">
        <f t="shared" si="0"/>
        <v>117081.84851999999</v>
      </c>
      <c r="G4" s="4">
        <f>G3*(1+rekenmodel!$C$22)</f>
        <v>125307</v>
      </c>
      <c r="H4" s="6">
        <f t="shared" si="1"/>
        <v>6.0000000000000053E-2</v>
      </c>
      <c r="I4" s="10">
        <f t="shared" si="2"/>
        <v>7518.4200000000064</v>
      </c>
    </row>
    <row r="5" spans="1:9" x14ac:dyDescent="0.35">
      <c r="A5">
        <f t="shared" si="3"/>
        <v>3</v>
      </c>
      <c r="B5" s="4">
        <f>B4*(1+rekenmodel!$C$23)</f>
        <v>-20400</v>
      </c>
      <c r="C5" s="2">
        <f>-IF(A5=rekenmodel!$C$20,(rekenmodel!$C$7*rekenmodel!$C$8+rekenmodel!$D$7*rekenmodel!$D$8+rekenmodel!$E$7*rekenmodel!$E$8),0)-IF(A5=rekenmodel!$C$21,1000*SUM(rekenmodel!$C$8:$E$8),0)</f>
        <v>0</v>
      </c>
      <c r="D5" s="4">
        <f>D4*(1+rekenmodel!$C$22)</f>
        <v>127046.26115999999</v>
      </c>
      <c r="E5" s="6">
        <f>E4*(1-rekenmodel!$C$19)</f>
        <v>0.88359999999999994</v>
      </c>
      <c r="F5" s="4">
        <f t="shared" si="0"/>
        <v>112258.07636097599</v>
      </c>
      <c r="G5" s="4">
        <f>G4*(1+rekenmodel!$C$22)</f>
        <v>127813.14</v>
      </c>
      <c r="H5" s="6">
        <f t="shared" si="1"/>
        <v>0.11640000000000006</v>
      </c>
      <c r="I5" s="10">
        <f t="shared" si="2"/>
        <v>14877.449496000008</v>
      </c>
    </row>
    <row r="6" spans="1:9" x14ac:dyDescent="0.35">
      <c r="A6">
        <f t="shared" si="3"/>
        <v>4</v>
      </c>
      <c r="B6" s="4">
        <f>B5*(1+rekenmodel!$C$23)</f>
        <v>-20808</v>
      </c>
      <c r="C6" s="2">
        <f>-IF(A6=rekenmodel!$C$20,(rekenmodel!$C$7*rekenmodel!$C$8+rekenmodel!$D$7*rekenmodel!$D$8+rekenmodel!$E$7*rekenmodel!$E$8),0)-IF(A6=rekenmodel!$C$21,1000*SUM(rekenmodel!$C$8:$E$8),0)</f>
        <v>0</v>
      </c>
      <c r="D6" s="4">
        <f>D5*(1+rekenmodel!$C$22)</f>
        <v>129587.18638319999</v>
      </c>
      <c r="E6" s="6">
        <f>E5*(1-rekenmodel!$C$19)</f>
        <v>0.83058399999999988</v>
      </c>
      <c r="F6" s="4">
        <f t="shared" si="0"/>
        <v>107633.04361490377</v>
      </c>
      <c r="G6" s="4">
        <f>G5*(1+rekenmodel!$C$22)</f>
        <v>130369.4028</v>
      </c>
      <c r="H6" s="6">
        <f t="shared" si="1"/>
        <v>0.16941600000000012</v>
      </c>
      <c r="I6" s="10">
        <f t="shared" si="2"/>
        <v>22086.662744764817</v>
      </c>
    </row>
    <row r="7" spans="1:9" x14ac:dyDescent="0.35">
      <c r="A7">
        <f t="shared" si="3"/>
        <v>5</v>
      </c>
      <c r="B7" s="4">
        <f>B6*(1+rekenmodel!$C$23)</f>
        <v>-21224.16</v>
      </c>
      <c r="C7" s="2">
        <f>-IF(A7=rekenmodel!$C$20,(rekenmodel!$C$7*rekenmodel!$C$8+rekenmodel!$D$7*rekenmodel!$D$8+rekenmodel!$E$7*rekenmodel!$E$8),0)-IF(A7=rekenmodel!$C$21,1000*SUM(rekenmodel!$C$8:$E$8),0)</f>
        <v>0</v>
      </c>
      <c r="D7" s="4">
        <f>D6*(1+rekenmodel!$C$22)</f>
        <v>132178.93011086399</v>
      </c>
      <c r="E7" s="6">
        <f>E6*(1-rekenmodel!$C$19)</f>
        <v>0.78074895999999983</v>
      </c>
      <c r="F7" s="4">
        <f t="shared" si="0"/>
        <v>103198.56221796972</v>
      </c>
      <c r="G7" s="4">
        <f>G6*(1+rekenmodel!$C$22)</f>
        <v>132976.79085600001</v>
      </c>
      <c r="H7" s="6">
        <f t="shared" si="1"/>
        <v>0.21925104000000017</v>
      </c>
      <c r="I7" s="10">
        <f t="shared" si="2"/>
        <v>29155.299691040516</v>
      </c>
    </row>
    <row r="8" spans="1:9" x14ac:dyDescent="0.35">
      <c r="A8">
        <f t="shared" si="3"/>
        <v>6</v>
      </c>
      <c r="B8" s="4">
        <f>B7*(1+rekenmodel!$C$23)</f>
        <v>-21648.643199999999</v>
      </c>
      <c r="C8" s="2">
        <f>-IF(A8=rekenmodel!$C$20,(rekenmodel!$C$7*rekenmodel!$C$8+rekenmodel!$D$7*rekenmodel!$D$8+rekenmodel!$E$7*rekenmodel!$E$8),0)-IF(A8=rekenmodel!$C$21,1000*SUM(rekenmodel!$C$8:$E$8),0)</f>
        <v>0</v>
      </c>
      <c r="D8" s="4">
        <f>D7*(1+rekenmodel!$C$22)</f>
        <v>134822.50871308128</v>
      </c>
      <c r="E8" s="6">
        <f>E7*(1-rekenmodel!$C$19)</f>
        <v>0.73390402239999974</v>
      </c>
      <c r="F8" s="4">
        <f t="shared" si="0"/>
        <v>98946.781454589363</v>
      </c>
      <c r="G8" s="4">
        <f>G7*(1+rekenmodel!$C$22)</f>
        <v>135636.32667312</v>
      </c>
      <c r="H8" s="6">
        <f t="shared" si="1"/>
        <v>0.26609597760000026</v>
      </c>
      <c r="I8" s="10">
        <f t="shared" si="2"/>
        <v>36092.280944156853</v>
      </c>
    </row>
    <row r="9" spans="1:9" x14ac:dyDescent="0.35">
      <c r="A9">
        <f t="shared" si="3"/>
        <v>7</v>
      </c>
      <c r="B9" s="4">
        <f>B8*(1+rekenmodel!$C$23)</f>
        <v>-22081.616063999998</v>
      </c>
      <c r="C9" s="2">
        <f>-IF(A9=rekenmodel!$C$20,(rekenmodel!$C$7*rekenmodel!$C$8+rekenmodel!$D$7*rekenmodel!$D$8+rekenmodel!$E$7*rekenmodel!$E$8),0)-IF(A9=rekenmodel!$C$21,1000*SUM(rekenmodel!$C$8:$E$8),0)</f>
        <v>0</v>
      </c>
      <c r="D9" s="4">
        <f>D8*(1+rekenmodel!$C$22)</f>
        <v>137518.95888734292</v>
      </c>
      <c r="E9" s="6">
        <f>E8*(1-rekenmodel!$C$19)</f>
        <v>0.68986978105599972</v>
      </c>
      <c r="F9" s="4">
        <f t="shared" si="0"/>
        <v>94870.174058660283</v>
      </c>
      <c r="G9" s="4">
        <f>G8*(1+rekenmodel!$C$22)</f>
        <v>138349.05320658241</v>
      </c>
      <c r="H9" s="6">
        <f t="shared" si="1"/>
        <v>0.31013021894400028</v>
      </c>
      <c r="I9" s="10">
        <f t="shared" si="2"/>
        <v>42906.222161652549</v>
      </c>
    </row>
    <row r="10" spans="1:9" x14ac:dyDescent="0.35">
      <c r="A10">
        <f t="shared" si="3"/>
        <v>8</v>
      </c>
      <c r="B10" s="4">
        <f>B9*(1+rekenmodel!$C$23)</f>
        <v>-22523.24838528</v>
      </c>
      <c r="C10" s="2">
        <f>-IF(A10=rekenmodel!$C$20,(rekenmodel!$C$7*rekenmodel!$C$8+rekenmodel!$D$7*rekenmodel!$D$8+rekenmodel!$E$7*rekenmodel!$E$8),0)-IF(A10=rekenmodel!$C$21,1000*SUM(rekenmodel!$C$8:$E$8),0)</f>
        <v>0</v>
      </c>
      <c r="D10" s="4">
        <f>D9*(1+rekenmodel!$C$22)</f>
        <v>140269.33806508977</v>
      </c>
      <c r="E10" s="6">
        <f>E9*(1-rekenmodel!$C$19)</f>
        <v>0.64847759419263973</v>
      </c>
      <c r="F10" s="4">
        <f t="shared" si="0"/>
        <v>90961.522887443483</v>
      </c>
      <c r="G10" s="4">
        <f>G9*(1+rekenmodel!$C$22)</f>
        <v>141116.03427071407</v>
      </c>
      <c r="H10" s="6">
        <f t="shared" si="1"/>
        <v>0.35152240580736027</v>
      </c>
      <c r="I10" s="10">
        <f t="shared" si="2"/>
        <v>49605.447864835311</v>
      </c>
    </row>
    <row r="11" spans="1:9" x14ac:dyDescent="0.35">
      <c r="A11">
        <f t="shared" si="3"/>
        <v>9</v>
      </c>
      <c r="B11" s="4">
        <f>B10*(1+rekenmodel!$C$23)</f>
        <v>-22973.7133529856</v>
      </c>
      <c r="C11" s="2">
        <f>-IF(A11=rekenmodel!$C$20,(rekenmodel!$C$7*rekenmodel!$C$8+rekenmodel!$D$7*rekenmodel!$D$8+rekenmodel!$E$7*rekenmodel!$E$8),0)-IF(A11=rekenmodel!$C$21,1000*SUM(rekenmodel!$C$8:$E$8),0)</f>
        <v>0</v>
      </c>
      <c r="D11" s="4">
        <f>D10*(1+rekenmodel!$C$22)</f>
        <v>143074.72482639158</v>
      </c>
      <c r="E11" s="6">
        <f>E10*(1-rekenmodel!$C$19)</f>
        <v>0.6095689385410813</v>
      </c>
      <c r="F11" s="4">
        <f t="shared" si="0"/>
        <v>87213.908144480811</v>
      </c>
      <c r="G11" s="4">
        <f>G10*(1+rekenmodel!$C$22)</f>
        <v>143938.35495612834</v>
      </c>
      <c r="H11" s="6">
        <f t="shared" si="1"/>
        <v>0.3904310614589187</v>
      </c>
      <c r="I11" s="10">
        <f t="shared" si="2"/>
        <v>56198.004710171801</v>
      </c>
    </row>
    <row r="12" spans="1:9" x14ac:dyDescent="0.35">
      <c r="A12">
        <f t="shared" si="3"/>
        <v>10</v>
      </c>
      <c r="B12" s="4">
        <f>B11*(1+rekenmodel!$C$23)</f>
        <v>-23433.187620045312</v>
      </c>
      <c r="C12" s="2">
        <f>-IF(A12=rekenmodel!$C$20,(rekenmodel!$C$7*rekenmodel!$C$8+rekenmodel!$D$7*rekenmodel!$D$8+rekenmodel!$E$7*rekenmodel!$E$8),0)-IF(A12=rekenmodel!$C$21,1000*SUM(rekenmodel!$C$8:$E$8),0)</f>
        <v>0</v>
      </c>
      <c r="D12" s="4">
        <f>D11*(1+rekenmodel!$C$22)</f>
        <v>145936.21932291941</v>
      </c>
      <c r="E12" s="6">
        <f>E11*(1-rekenmodel!$C$19)</f>
        <v>0.57299480222861643</v>
      </c>
      <c r="F12" s="4">
        <f t="shared" si="0"/>
        <v>83620.695128928201</v>
      </c>
      <c r="G12" s="4">
        <f>G11*(1+rekenmodel!$C$22)</f>
        <v>146817.12205525092</v>
      </c>
      <c r="H12" s="6">
        <f t="shared" si="1"/>
        <v>0.42700519777138357</v>
      </c>
      <c r="I12" s="10">
        <f t="shared" si="2"/>
        <v>62691.674239427783</v>
      </c>
    </row>
    <row r="13" spans="1:9" x14ac:dyDescent="0.35">
      <c r="A13">
        <f t="shared" si="3"/>
        <v>11</v>
      </c>
      <c r="B13" s="4">
        <f>B12*(1+rekenmodel!$C$23)</f>
        <v>-23901.851372446217</v>
      </c>
      <c r="C13" s="2">
        <f>-IF(A13=rekenmodel!$C$20,(rekenmodel!$C$7*rekenmodel!$C$8+rekenmodel!$D$7*rekenmodel!$D$8+rekenmodel!$E$7*rekenmodel!$E$8),0)-IF(A13=rekenmodel!$C$21,1000*SUM(rekenmodel!$C$8:$E$8),0)</f>
        <v>0</v>
      </c>
      <c r="D13" s="4">
        <f>D12*(1+rekenmodel!$C$22)</f>
        <v>148854.94370937781</v>
      </c>
      <c r="E13" s="6">
        <f>E12*(1-rekenmodel!$C$19)</f>
        <v>0.53861511409489937</v>
      </c>
      <c r="F13" s="4">
        <f t="shared" si="0"/>
        <v>80175.522489616356</v>
      </c>
      <c r="G13" s="4">
        <f>G12*(1+rekenmodel!$C$22)</f>
        <v>149753.46449635594</v>
      </c>
      <c r="H13" s="6">
        <f t="shared" si="1"/>
        <v>0.46138488590510063</v>
      </c>
      <c r="I13" s="10">
        <f t="shared" si="2"/>
        <v>69093.985130544723</v>
      </c>
    </row>
    <row r="14" spans="1:9" x14ac:dyDescent="0.35">
      <c r="A14">
        <f t="shared" si="3"/>
        <v>12</v>
      </c>
      <c r="B14" s="4">
        <f>B13*(1+rekenmodel!$C$23)</f>
        <v>-24379.888399895142</v>
      </c>
      <c r="C14" s="2">
        <f>-IF(A14=rekenmodel!$C$20,(rekenmodel!$C$7*rekenmodel!$C$8+rekenmodel!$D$7*rekenmodel!$D$8+rekenmodel!$E$7*rekenmodel!$E$8),0)-IF(A14=rekenmodel!$C$21,1000*SUM(rekenmodel!$C$8:$E$8),0)</f>
        <v>-324000</v>
      </c>
      <c r="D14" s="4">
        <f>D13*(1+rekenmodel!$C$22)</f>
        <v>151832.04258356537</v>
      </c>
      <c r="E14" s="6">
        <f>E13*(1-rekenmodel!$C$19)</f>
        <v>0.50629820724920538</v>
      </c>
      <c r="F14" s="4">
        <f t="shared" si="0"/>
        <v>76872.290963044157</v>
      </c>
      <c r="G14" s="4">
        <f>G13*(1+rekenmodel!$C$22)</f>
        <v>152748.53378628305</v>
      </c>
      <c r="H14" s="6">
        <f t="shared" si="1"/>
        <v>0.49370179275079462</v>
      </c>
      <c r="I14" s="10">
        <f t="shared" si="2"/>
        <v>75412.224970343261</v>
      </c>
    </row>
    <row r="15" spans="1:9" x14ac:dyDescent="0.35">
      <c r="A15">
        <f t="shared" si="3"/>
        <v>13</v>
      </c>
      <c r="B15" s="4">
        <f>B14*(1+rekenmodel!$C$23)</f>
        <v>-24867.486167893047</v>
      </c>
      <c r="C15" s="2">
        <f>-IF(A15=rekenmodel!$C$20,(rekenmodel!$C$7*rekenmodel!$C$8+rekenmodel!$D$7*rekenmodel!$D$8+rekenmodel!$E$7*rekenmodel!$E$8),0)-IF(A15=rekenmodel!$C$21,1000*SUM(rekenmodel!$C$8:$E$8),0)</f>
        <v>0</v>
      </c>
      <c r="D15" s="4">
        <f>D14*(1+rekenmodel!$C$22)</f>
        <v>154868.68343523669</v>
      </c>
      <c r="E15" s="6">
        <f>E14*(1-rekenmodel!$C$19)</f>
        <v>0.47592031481425301</v>
      </c>
      <c r="F15" s="4">
        <f t="shared" si="0"/>
        <v>73705.152575366737</v>
      </c>
      <c r="G15" s="4">
        <f>G14*(1+rekenmodel!$C$22)</f>
        <v>155803.50446200871</v>
      </c>
      <c r="H15" s="6">
        <f t="shared" si="1"/>
        <v>0.52407968518574699</v>
      </c>
      <c r="I15" s="10">
        <f t="shared" si="2"/>
        <v>81653.451569285651</v>
      </c>
    </row>
    <row r="16" spans="1:9" x14ac:dyDescent="0.35">
      <c r="A16">
        <f t="shared" si="3"/>
        <v>14</v>
      </c>
      <c r="B16" s="4">
        <f>B15*(1+rekenmodel!$C$23)</f>
        <v>-25364.835891250907</v>
      </c>
      <c r="C16" s="2">
        <f>-IF(A16=rekenmodel!$C$20,(rekenmodel!$C$7*rekenmodel!$C$8+rekenmodel!$D$7*rekenmodel!$D$8+rekenmodel!$E$7*rekenmodel!$E$8),0)-IF(A16=rekenmodel!$C$21,1000*SUM(rekenmodel!$C$8:$E$8),0)</f>
        <v>0</v>
      </c>
      <c r="D16" s="4">
        <f>D15*(1+rekenmodel!$C$22)</f>
        <v>157966.05710394142</v>
      </c>
      <c r="E16" s="6">
        <f>E15*(1-rekenmodel!$C$19)</f>
        <v>0.4473650959253978</v>
      </c>
      <c r="F16" s="4">
        <f t="shared" si="0"/>
        <v>70668.500289261618</v>
      </c>
      <c r="G16" s="4">
        <f>G15*(1+rekenmodel!$C$22)</f>
        <v>158919.57455124889</v>
      </c>
      <c r="H16" s="6">
        <f t="shared" si="1"/>
        <v>0.55263490407460214</v>
      </c>
      <c r="I16" s="10">
        <f t="shared" si="2"/>
        <v>87824.503837706012</v>
      </c>
    </row>
    <row r="17" spans="1:9" x14ac:dyDescent="0.35">
      <c r="A17">
        <f t="shared" si="3"/>
        <v>15</v>
      </c>
      <c r="B17" s="4">
        <f>B16*(1+rekenmodel!$C$23)</f>
        <v>-25872.132609075925</v>
      </c>
      <c r="C17" s="2">
        <f>-IF(A17=rekenmodel!$C$20,(rekenmodel!$C$7*rekenmodel!$C$8+rekenmodel!$D$7*rekenmodel!$D$8+rekenmodel!$E$7*rekenmodel!$E$8),0)-IF(A17=rekenmodel!$C$21,1000*SUM(rekenmodel!$C$8:$E$8),0)</f>
        <v>0</v>
      </c>
      <c r="D17" s="4">
        <f>D16*(1+rekenmodel!$C$22)</f>
        <v>161125.37824602026</v>
      </c>
      <c r="E17" s="6">
        <f>E16*(1-rekenmodel!$C$19)</f>
        <v>0.42052319016987394</v>
      </c>
      <c r="F17" s="4">
        <f t="shared" si="0"/>
        <v>67756.958077344054</v>
      </c>
      <c r="G17" s="4">
        <f>G16*(1+rekenmodel!$C$22)</f>
        <v>162097.96604227388</v>
      </c>
      <c r="H17" s="6">
        <f t="shared" si="1"/>
        <v>0.57947680983012606</v>
      </c>
      <c r="I17" s="10">
        <f t="shared" si="2"/>
        <v>93932.012242128971</v>
      </c>
    </row>
    <row r="18" spans="1:9" x14ac:dyDescent="0.35">
      <c r="A18">
        <f t="shared" si="3"/>
        <v>16</v>
      </c>
      <c r="B18" s="4">
        <f>B17*(1+rekenmodel!$C$23)</f>
        <v>-26389.575261257443</v>
      </c>
      <c r="C18" s="2">
        <f>-IF(A18=rekenmodel!$C$20,(rekenmodel!$C$7*rekenmodel!$C$8+rekenmodel!$D$7*rekenmodel!$D$8+rekenmodel!$E$7*rekenmodel!$E$8),0)-IF(A18=rekenmodel!$C$21,1000*SUM(rekenmodel!$C$8:$E$8),0)</f>
        <v>0</v>
      </c>
      <c r="D18" s="4">
        <f>D17*(1+rekenmodel!$C$22)</f>
        <v>164347.88581094067</v>
      </c>
      <c r="E18" s="6">
        <f>E17*(1-rekenmodel!$C$19)</f>
        <v>0.39529179875968146</v>
      </c>
      <c r="F18" s="4">
        <f t="shared" si="0"/>
        <v>64965.371404557467</v>
      </c>
      <c r="G18" s="4">
        <f>G17*(1+rekenmodel!$C$22)</f>
        <v>165339.92536311937</v>
      </c>
      <c r="H18" s="6">
        <f t="shared" si="1"/>
        <v>0.60470820124031854</v>
      </c>
      <c r="I18" s="10">
        <f t="shared" si="2"/>
        <v>99982.408859540432</v>
      </c>
    </row>
    <row r="19" spans="1:9" x14ac:dyDescent="0.35">
      <c r="A19">
        <f t="shared" si="3"/>
        <v>17</v>
      </c>
      <c r="B19" s="4">
        <f>B18*(1+rekenmodel!$C$23)</f>
        <v>-26917.366766482592</v>
      </c>
      <c r="C19" s="2">
        <f>-IF(A19=rekenmodel!$C$20,(rekenmodel!$C$7*rekenmodel!$C$8+rekenmodel!$D$7*rekenmodel!$D$8+rekenmodel!$E$7*rekenmodel!$E$8),0)-IF(A19=rekenmodel!$C$21,1000*SUM(rekenmodel!$C$8:$E$8),0)</f>
        <v>0</v>
      </c>
      <c r="D19" s="4">
        <f>D18*(1+rekenmodel!$C$22)</f>
        <v>167634.84352715948</v>
      </c>
      <c r="E19" s="6">
        <f>E18*(1-rekenmodel!$C$19)</f>
        <v>0.37157429083410054</v>
      </c>
      <c r="F19" s="4">
        <f t="shared" si="0"/>
        <v>62288.798102689696</v>
      </c>
      <c r="G19" s="4">
        <f>G18*(1+rekenmodel!$C$22)</f>
        <v>168646.72387038177</v>
      </c>
      <c r="H19" s="6">
        <f t="shared" si="1"/>
        <v>0.62842570916589946</v>
      </c>
      <c r="I19" s="10">
        <f t="shared" si="2"/>
        <v>105981.93704675029</v>
      </c>
    </row>
    <row r="20" spans="1:9" x14ac:dyDescent="0.35">
      <c r="A20">
        <f t="shared" si="3"/>
        <v>18</v>
      </c>
      <c r="B20" s="4">
        <f>B19*(1+rekenmodel!$C$23)</f>
        <v>-27455.714101812246</v>
      </c>
      <c r="C20" s="2">
        <f>-IF(A20=rekenmodel!$C$20,(rekenmodel!$C$7*rekenmodel!$C$8+rekenmodel!$D$7*rekenmodel!$D$8+rekenmodel!$E$7*rekenmodel!$E$8),0)-IF(A20=rekenmodel!$C$21,1000*SUM(rekenmodel!$C$8:$E$8),0)</f>
        <v>0</v>
      </c>
      <c r="D20" s="4">
        <f>D19*(1+rekenmodel!$C$22)</f>
        <v>170987.54039770266</v>
      </c>
      <c r="E20" s="6">
        <f>E19*(1-rekenmodel!$C$19)</f>
        <v>0.34927983338405449</v>
      </c>
      <c r="F20" s="4">
        <f t="shared" si="0"/>
        <v>59722.499620858871</v>
      </c>
      <c r="G20" s="4">
        <f>G19*(1+rekenmodel!$C$22)</f>
        <v>172019.6583477894</v>
      </c>
      <c r="H20" s="6">
        <f t="shared" si="1"/>
        <v>0.65072016661594545</v>
      </c>
      <c r="I20" s="10">
        <f t="shared" si="2"/>
        <v>111936.66074129153</v>
      </c>
    </row>
    <row r="21" spans="1:9" x14ac:dyDescent="0.35">
      <c r="A21">
        <f t="shared" si="3"/>
        <v>19</v>
      </c>
      <c r="B21" s="4">
        <f>B20*(1+rekenmodel!$C$23)</f>
        <v>-28004.828383848489</v>
      </c>
      <c r="C21" s="2">
        <f>-IF(A21=rekenmodel!$C$20,(rekenmodel!$C$7*rekenmodel!$C$8+rekenmodel!$D$7*rekenmodel!$D$8+rekenmodel!$E$7*rekenmodel!$E$8),0)-IF(A21=rekenmodel!$C$21,1000*SUM(rekenmodel!$C$8:$E$8),0)</f>
        <v>0</v>
      </c>
      <c r="D21" s="4">
        <f>D20*(1+rekenmodel!$C$22)</f>
        <v>174407.29120565671</v>
      </c>
      <c r="E21" s="6">
        <f>E20*(1-rekenmodel!$C$19)</f>
        <v>0.3283230433810112</v>
      </c>
      <c r="F21" s="4">
        <f t="shared" si="0"/>
        <v>57261.932636479483</v>
      </c>
      <c r="G21" s="4">
        <f>G20*(1+rekenmodel!$C$22)</f>
        <v>175460.0515147452</v>
      </c>
      <c r="H21" s="6">
        <f t="shared" si="1"/>
        <v>0.67167695661898885</v>
      </c>
      <c r="I21" s="10">
        <f t="shared" si="2"/>
        <v>117852.47340963506</v>
      </c>
    </row>
    <row r="22" spans="1:9" x14ac:dyDescent="0.35">
      <c r="A22">
        <f t="shared" si="3"/>
        <v>20</v>
      </c>
      <c r="B22" s="4">
        <f>B21*(1+rekenmodel!$C$23)</f>
        <v>-28564.92495152546</v>
      </c>
      <c r="C22" s="2">
        <f>-IF(A22=rekenmodel!$C$20,(rekenmodel!$C$7*rekenmodel!$C$8+rekenmodel!$D$7*rekenmodel!$D$8+rekenmodel!$E$7*rekenmodel!$E$8),0)-IF(A22=rekenmodel!$C$21,1000*SUM(rekenmodel!$C$8:$E$8),0)</f>
        <v>0</v>
      </c>
      <c r="D22" s="4">
        <f>D21*(1+rekenmodel!$C$22)</f>
        <v>177895.43702976985</v>
      </c>
      <c r="E22" s="6">
        <f>E21*(1-rekenmodel!$C$19)</f>
        <v>0.30862366077815051</v>
      </c>
      <c r="F22" s="4">
        <f t="shared" si="0"/>
        <v>54902.741011856524</v>
      </c>
      <c r="G22" s="4">
        <f>G21*(1+rekenmodel!$C$22)</f>
        <v>178969.2525450401</v>
      </c>
      <c r="H22" s="6">
        <f t="shared" si="1"/>
        <v>0.69137633922184949</v>
      </c>
      <c r="I22" s="10">
        <f t="shared" si="2"/>
        <v>123735.1066578605</v>
      </c>
    </row>
    <row r="23" spans="1:9" x14ac:dyDescent="0.35">
      <c r="A23">
        <f t="shared" si="3"/>
        <v>21</v>
      </c>
      <c r="B23" s="4">
        <f>B22*(1+rekenmodel!$C$23)</f>
        <v>-29136.223450555968</v>
      </c>
      <c r="C23" s="2">
        <f>-IF(A23=rekenmodel!$C$20,(rekenmodel!$C$7*rekenmodel!$C$8+rekenmodel!$D$7*rekenmodel!$D$8+rekenmodel!$E$7*rekenmodel!$E$8),0)-IF(A23=rekenmodel!$C$21,1000*SUM(rekenmodel!$C$8:$E$8),0)</f>
        <v>0</v>
      </c>
      <c r="D23" s="4">
        <f>D22*(1+rekenmodel!$C$22)</f>
        <v>181453.34577036524</v>
      </c>
      <c r="E23" s="6">
        <f>E22*(1-rekenmodel!$C$19)</f>
        <v>0.29010624113146144</v>
      </c>
      <c r="F23" s="4">
        <f t="shared" si="0"/>
        <v>52640.748082168029</v>
      </c>
      <c r="G23" s="4">
        <f>G22*(1+rekenmodel!$C$22)</f>
        <v>182548.63759594091</v>
      </c>
      <c r="H23" s="6">
        <f t="shared" si="1"/>
        <v>0.70989375886853856</v>
      </c>
      <c r="I23" s="10">
        <f t="shared" si="2"/>
        <v>129590.1385193131</v>
      </c>
    </row>
    <row r="24" spans="1:9" x14ac:dyDescent="0.35">
      <c r="A24">
        <f t="shared" si="3"/>
        <v>22</v>
      </c>
      <c r="B24" s="4">
        <f>B23*(1+rekenmodel!$C$23)</f>
        <v>-29718.947919567087</v>
      </c>
      <c r="C24" s="2">
        <f>-IF(A24=rekenmodel!$C$20,(rekenmodel!$C$7*rekenmodel!$C$8+rekenmodel!$D$7*rekenmodel!$D$8+rekenmodel!$E$7*rekenmodel!$E$8),0)-IF(A24=rekenmodel!$C$21,1000*SUM(rekenmodel!$C$8:$E$8),0)</f>
        <v>0</v>
      </c>
      <c r="D24" s="4">
        <f>D23*(1+rekenmodel!$C$22)</f>
        <v>185082.41268577255</v>
      </c>
      <c r="E24" s="6">
        <f>E23*(1-rekenmodel!$C$19)</f>
        <v>0.27269986666357376</v>
      </c>
      <c r="F24" s="4">
        <f t="shared" si="0"/>
        <v>50471.949261182708</v>
      </c>
      <c r="G24" s="4">
        <f>G23*(1+rekenmodel!$C$22)</f>
        <v>186199.61034785974</v>
      </c>
      <c r="H24" s="6">
        <f t="shared" si="1"/>
        <v>0.72730013333642618</v>
      </c>
      <c r="I24" s="10">
        <f t="shared" si="2"/>
        <v>135423.001433189</v>
      </c>
    </row>
    <row r="25" spans="1:9" x14ac:dyDescent="0.35">
      <c r="A25">
        <f t="shared" si="3"/>
        <v>23</v>
      </c>
      <c r="B25" s="4">
        <f>B24*(1+rekenmodel!$C$23)</f>
        <v>-30313.326877958429</v>
      </c>
      <c r="C25" s="2">
        <f>-IF(A25=rekenmodel!$C$20,(rekenmodel!$C$7*rekenmodel!$C$8+rekenmodel!$D$7*rekenmodel!$D$8+rekenmodel!$E$7*rekenmodel!$E$8),0)-IF(A25=rekenmodel!$C$21,1000*SUM(rekenmodel!$C$8:$E$8),0)</f>
        <v>0</v>
      </c>
      <c r="D25" s="4">
        <f>D24*(1+rekenmodel!$C$22)</f>
        <v>188784.060939488</v>
      </c>
      <c r="E25" s="6">
        <f>E24*(1-rekenmodel!$C$19)</f>
        <v>0.25633787466375935</v>
      </c>
      <c r="F25" s="4">
        <f t="shared" si="0"/>
        <v>48392.504951621981</v>
      </c>
      <c r="G25" s="4">
        <f>G24*(1+rekenmodel!$C$22)</f>
        <v>189923.60255481693</v>
      </c>
      <c r="H25" s="6">
        <f t="shared" si="1"/>
        <v>0.74366212533624065</v>
      </c>
      <c r="I25" s="10">
        <f t="shared" si="2"/>
        <v>141238.98992743061</v>
      </c>
    </row>
    <row r="26" spans="1:9" x14ac:dyDescent="0.35">
      <c r="A26">
        <f t="shared" si="3"/>
        <v>24</v>
      </c>
      <c r="B26" s="4">
        <f>B25*(1+rekenmodel!$C$23)</f>
        <v>-30919.593415517596</v>
      </c>
      <c r="C26" s="2">
        <f>-IF(A26=rekenmodel!$C$20,(rekenmodel!$C$7*rekenmodel!$C$8+rekenmodel!$D$7*rekenmodel!$D$8+rekenmodel!$E$7*rekenmodel!$E$8),0)-IF(A26=rekenmodel!$C$21,1000*SUM(rekenmodel!$C$8:$E$8),0)</f>
        <v>0</v>
      </c>
      <c r="D26" s="4">
        <f>D25*(1+rekenmodel!$C$22)</f>
        <v>192559.74215827778</v>
      </c>
      <c r="E26" s="6">
        <f>E25*(1-rekenmodel!$C$19)</f>
        <v>0.24095760218393378</v>
      </c>
      <c r="F26" s="4">
        <f t="shared" si="0"/>
        <v>46398.733747615159</v>
      </c>
      <c r="G26" s="4">
        <f>G25*(1+rekenmodel!$C$22)</f>
        <v>193722.07460591328</v>
      </c>
      <c r="H26" s="6">
        <f t="shared" si="1"/>
        <v>0.75904239781606619</v>
      </c>
      <c r="I26" s="10">
        <f t="shared" si="2"/>
        <v>147043.26801877527</v>
      </c>
    </row>
    <row r="27" spans="1:9" x14ac:dyDescent="0.35">
      <c r="A27">
        <f t="shared" si="3"/>
        <v>25</v>
      </c>
      <c r="B27" s="4">
        <f>B26*(1+rekenmodel!$C$23)</f>
        <v>-31537.985283827948</v>
      </c>
      <c r="C27" s="2">
        <f>-IF(A27=rekenmodel!$C$20,(rekenmodel!$C$7*rekenmodel!$C$8+rekenmodel!$D$7*rekenmodel!$D$8+rekenmodel!$E$7*rekenmodel!$E$8),0)-IF(A27=rekenmodel!$C$21,1000*SUM(rekenmodel!$C$8:$E$8),0)</f>
        <v>0</v>
      </c>
      <c r="D27" s="4">
        <f>D26*(1+rekenmodel!$C$22)</f>
        <v>196410.93700144332</v>
      </c>
      <c r="E27" s="6">
        <f>E26*(1-rekenmodel!$C$19)</f>
        <v>0.22650014605289773</v>
      </c>
      <c r="F27" s="4">
        <f t="shared" si="0"/>
        <v>44487.105917213405</v>
      </c>
      <c r="G27" s="4">
        <f>G26*(1+rekenmodel!$C$22)</f>
        <v>197596.51609803154</v>
      </c>
      <c r="H27" s="6">
        <f t="shared" si="1"/>
        <v>0.7734998539471023</v>
      </c>
      <c r="I27" s="10">
        <f t="shared" si="2"/>
        <v>152840.87634228365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7"/>
  <sheetViews>
    <sheetView workbookViewId="0">
      <selection activeCell="B11" sqref="B11"/>
    </sheetView>
  </sheetViews>
  <sheetFormatPr defaultRowHeight="14.5" x14ac:dyDescent="0.35"/>
  <cols>
    <col min="1" max="1" width="34.6328125" customWidth="1"/>
    <col min="2" max="2" width="20" customWidth="1"/>
    <col min="3" max="3" width="10.6328125" customWidth="1"/>
    <col min="4" max="4" width="8.1796875" customWidth="1"/>
  </cols>
  <sheetData>
    <row r="1" spans="1:16" x14ac:dyDescent="0.35">
      <c r="E1" t="s">
        <v>48</v>
      </c>
      <c r="K1" t="s">
        <v>49</v>
      </c>
    </row>
    <row r="2" spans="1:16" x14ac:dyDescent="0.35">
      <c r="A2" t="s">
        <v>50</v>
      </c>
      <c r="B2" t="s">
        <v>51</v>
      </c>
      <c r="C2" t="s">
        <v>52</v>
      </c>
      <c r="D2" t="s">
        <v>53</v>
      </c>
      <c r="E2" t="s">
        <v>54</v>
      </c>
      <c r="F2">
        <v>6</v>
      </c>
      <c r="G2">
        <v>8</v>
      </c>
      <c r="H2">
        <v>10</v>
      </c>
      <c r="I2">
        <v>12</v>
      </c>
      <c r="J2" t="s">
        <v>55</v>
      </c>
      <c r="K2" t="str">
        <f>E2</f>
        <v>geen</v>
      </c>
      <c r="L2">
        <f t="shared" ref="L2:O2" si="0">F2</f>
        <v>6</v>
      </c>
      <c r="M2">
        <f t="shared" si="0"/>
        <v>8</v>
      </c>
      <c r="N2">
        <f t="shared" si="0"/>
        <v>10</v>
      </c>
      <c r="O2">
        <f t="shared" si="0"/>
        <v>12</v>
      </c>
      <c r="P2" t="s">
        <v>56</v>
      </c>
    </row>
    <row r="3" spans="1:16" x14ac:dyDescent="0.35">
      <c r="A3" t="s">
        <v>57</v>
      </c>
      <c r="B3" t="s">
        <v>58</v>
      </c>
      <c r="C3" s="2">
        <f>SUM(E3:O3)</f>
        <v>967.18181818181824</v>
      </c>
      <c r="D3" s="6">
        <f>(F3+G3+H3+I3+L3+M3+N3+O3)/C3</f>
        <v>0.92226713036939556</v>
      </c>
      <c r="E3">
        <v>20</v>
      </c>
      <c r="F3">
        <v>10</v>
      </c>
      <c r="G3">
        <v>1</v>
      </c>
      <c r="H3">
        <v>0</v>
      </c>
      <c r="I3">
        <v>0</v>
      </c>
      <c r="J3" s="3">
        <f>(F3*F$2+G3*G$2+H3*H$2+I3*I$2)/SUM(F3:I3)</f>
        <v>6.1818181818181817</v>
      </c>
      <c r="K3">
        <v>49</v>
      </c>
      <c r="L3">
        <v>428</v>
      </c>
      <c r="M3">
        <v>104</v>
      </c>
      <c r="N3">
        <v>264</v>
      </c>
      <c r="O3">
        <v>85</v>
      </c>
      <c r="P3" s="17">
        <f>(L3*L$2+M3*M$2+N3*N$2+O3*O$2)/SUM(L3:O3)</f>
        <v>8.0136208853575486</v>
      </c>
    </row>
    <row r="4" spans="1:16" x14ac:dyDescent="0.35">
      <c r="A4" t="s">
        <v>59</v>
      </c>
      <c r="B4" t="s">
        <v>60</v>
      </c>
      <c r="C4">
        <f t="shared" ref="C4:C8" si="1">SUM(E4:O4)</f>
        <v>280</v>
      </c>
      <c r="D4" s="6">
        <f>(F4+G4+H4+I4+L4+M4+N4+O4)/C4</f>
        <v>0.52500000000000002</v>
      </c>
      <c r="E4">
        <v>75</v>
      </c>
      <c r="F4">
        <v>42</v>
      </c>
      <c r="G4">
        <v>0</v>
      </c>
      <c r="H4">
        <v>0</v>
      </c>
      <c r="I4">
        <v>0</v>
      </c>
      <c r="J4" s="3">
        <f t="shared" ref="J4:J9" si="2">(F4*F$2+G4*G$2+H4*H$2+I4*I$2)/SUM(F4:I4)</f>
        <v>6</v>
      </c>
      <c r="K4">
        <v>52</v>
      </c>
      <c r="L4">
        <v>77</v>
      </c>
      <c r="M4">
        <v>5</v>
      </c>
      <c r="N4">
        <v>10</v>
      </c>
      <c r="O4">
        <v>13</v>
      </c>
      <c r="P4" s="17">
        <f t="shared" ref="P4:P8" si="3">(L4*L$2+M4*M$2+N4*N$2+O4*O$2)/SUM(L4:O4)</f>
        <v>7.2190476190476192</v>
      </c>
    </row>
    <row r="5" spans="1:16" x14ac:dyDescent="0.35">
      <c r="A5" t="s">
        <v>61</v>
      </c>
      <c r="B5" t="s">
        <v>62</v>
      </c>
      <c r="C5" s="2">
        <f t="shared" si="1"/>
        <v>2124.1904761904761</v>
      </c>
      <c r="D5" s="6">
        <f>(F5+G5+H5+I5+L5+M5+N5+O5)/C5</f>
        <v>0.55550573888091825</v>
      </c>
      <c r="E5">
        <v>409</v>
      </c>
      <c r="F5">
        <v>418</v>
      </c>
      <c r="G5">
        <v>4</v>
      </c>
      <c r="H5">
        <v>19</v>
      </c>
      <c r="I5">
        <v>0</v>
      </c>
      <c r="J5" s="3">
        <f t="shared" si="2"/>
        <v>6.1904761904761907</v>
      </c>
      <c r="K5">
        <v>529</v>
      </c>
      <c r="L5">
        <v>354</v>
      </c>
      <c r="M5">
        <v>91</v>
      </c>
      <c r="N5">
        <v>69</v>
      </c>
      <c r="O5">
        <v>225</v>
      </c>
      <c r="P5" s="17">
        <f t="shared" si="3"/>
        <v>8.4465493910690128</v>
      </c>
    </row>
    <row r="6" spans="1:16" x14ac:dyDescent="0.35">
      <c r="A6" t="s">
        <v>63</v>
      </c>
      <c r="B6" t="s">
        <v>64</v>
      </c>
      <c r="C6">
        <f t="shared" si="1"/>
        <v>818</v>
      </c>
      <c r="D6" s="6" t="s">
        <v>65</v>
      </c>
      <c r="E6">
        <v>0</v>
      </c>
      <c r="F6">
        <v>0</v>
      </c>
      <c r="G6">
        <v>0</v>
      </c>
      <c r="H6">
        <v>0</v>
      </c>
      <c r="I6">
        <v>0</v>
      </c>
      <c r="J6" s="3"/>
      <c r="L6">
        <v>407</v>
      </c>
      <c r="M6">
        <v>21</v>
      </c>
      <c r="N6">
        <v>390</v>
      </c>
      <c r="P6" s="17">
        <f t="shared" si="3"/>
        <v>7.9584352078239613</v>
      </c>
    </row>
    <row r="7" spans="1:16" x14ac:dyDescent="0.35">
      <c r="A7" t="s">
        <v>66</v>
      </c>
      <c r="B7" t="s">
        <v>66</v>
      </c>
      <c r="C7">
        <f t="shared" si="1"/>
        <v>198</v>
      </c>
      <c r="D7" s="6">
        <f>(F7+G7+H7+I7+L7+M7+N7+O7)/C7</f>
        <v>0.91919191919191923</v>
      </c>
      <c r="J7" s="3"/>
      <c r="K7">
        <v>16</v>
      </c>
      <c r="L7">
        <v>13</v>
      </c>
      <c r="M7">
        <v>76</v>
      </c>
      <c r="N7">
        <v>86</v>
      </c>
      <c r="O7">
        <v>7</v>
      </c>
      <c r="P7" s="17">
        <f t="shared" si="3"/>
        <v>8.9560439560439562</v>
      </c>
    </row>
    <row r="8" spans="1:16" x14ac:dyDescent="0.35">
      <c r="A8" t="s">
        <v>67</v>
      </c>
      <c r="B8" t="s">
        <v>68</v>
      </c>
      <c r="C8">
        <f t="shared" si="1"/>
        <v>256</v>
      </c>
      <c r="D8" s="6" t="s">
        <v>65</v>
      </c>
      <c r="J8" s="3"/>
      <c r="L8">
        <v>136</v>
      </c>
      <c r="M8">
        <v>33</v>
      </c>
      <c r="N8">
        <v>14</v>
      </c>
      <c r="O8">
        <v>73</v>
      </c>
      <c r="P8" s="17">
        <f t="shared" si="3"/>
        <v>8.1875</v>
      </c>
    </row>
    <row r="9" spans="1:16" x14ac:dyDescent="0.35">
      <c r="A9" t="s">
        <v>69</v>
      </c>
      <c r="D9" s="18">
        <f>(SUM(F9:I9)+SUM(L9:O9))/SUM(E9:I9,K9:O9)</f>
        <v>0.75135135135135134</v>
      </c>
      <c r="E9">
        <f>SUM(E3:E8)</f>
        <v>504</v>
      </c>
      <c r="F9">
        <f t="shared" ref="F9:I9" si="4">SUM(F3:F8)</f>
        <v>470</v>
      </c>
      <c r="G9">
        <f t="shared" si="4"/>
        <v>5</v>
      </c>
      <c r="H9">
        <f t="shared" si="4"/>
        <v>19</v>
      </c>
      <c r="I9">
        <f t="shared" si="4"/>
        <v>0</v>
      </c>
      <c r="J9" s="19">
        <f t="shared" si="2"/>
        <v>6.1740890688259107</v>
      </c>
      <c r="K9">
        <f>SUM(K3:K8)</f>
        <v>646</v>
      </c>
      <c r="L9">
        <f>SUM(L3:L8)</f>
        <v>1415</v>
      </c>
      <c r="M9">
        <f t="shared" ref="M9:O9" si="5">SUM(M3:M8)</f>
        <v>330</v>
      </c>
      <c r="N9">
        <f t="shared" si="5"/>
        <v>833</v>
      </c>
      <c r="O9">
        <f t="shared" si="5"/>
        <v>403</v>
      </c>
      <c r="P9" s="20">
        <f>(L9*L$2+M9*M$2+N9*N$2+O9*O$2)/SUM(L9:O9)</f>
        <v>8.1502851392150291</v>
      </c>
    </row>
    <row r="11" spans="1:16" x14ac:dyDescent="0.35">
      <c r="A11" t="s">
        <v>70</v>
      </c>
      <c r="B11" s="4">
        <f>SUM(C3:C8)</f>
        <v>4643.3722943722942</v>
      </c>
    </row>
    <row r="12" spans="1:16" x14ac:dyDescent="0.35">
      <c r="A12" t="s">
        <v>71</v>
      </c>
      <c r="B12" s="1">
        <f>D9</f>
        <v>0.75135135135135134</v>
      </c>
    </row>
    <row r="13" spans="1:16" x14ac:dyDescent="0.35">
      <c r="A13" t="s">
        <v>72</v>
      </c>
      <c r="B13" s="6">
        <f>SUM(F9:I9)/(SUM(F9:I9)+SUM(L9:O9))</f>
        <v>0.14215827338129497</v>
      </c>
    </row>
    <row r="14" spans="1:16" x14ac:dyDescent="0.35">
      <c r="A14" t="s">
        <v>73</v>
      </c>
      <c r="B14" s="1">
        <f>1-B13</f>
        <v>0.85784172661870506</v>
      </c>
    </row>
    <row r="15" spans="1:16" x14ac:dyDescent="0.35">
      <c r="A15" t="s">
        <v>74</v>
      </c>
      <c r="B15" s="17">
        <f>J9</f>
        <v>6.1740890688259107</v>
      </c>
    </row>
    <row r="16" spans="1:16" x14ac:dyDescent="0.35">
      <c r="A16" t="s">
        <v>75</v>
      </c>
      <c r="B16" s="17">
        <f>P9</f>
        <v>8.1502851392150291</v>
      </c>
    </row>
    <row r="17" spans="1:2" x14ac:dyDescent="0.35">
      <c r="A17" t="s">
        <v>76</v>
      </c>
      <c r="B17" s="17">
        <f>B15*B13+B16*B14</f>
        <v>7.8693525179856119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8"/>
  <sheetViews>
    <sheetView topLeftCell="A7" workbookViewId="0">
      <selection activeCell="F12" sqref="F12"/>
    </sheetView>
  </sheetViews>
  <sheetFormatPr defaultRowHeight="14.5" x14ac:dyDescent="0.35"/>
  <cols>
    <col min="1" max="1" width="24.1796875" customWidth="1"/>
    <col min="3" max="3" width="9.90625" bestFit="1" customWidth="1"/>
    <col min="4" max="4" width="17.90625" customWidth="1"/>
  </cols>
  <sheetData>
    <row r="1" spans="1:7" ht="15" thickBot="1" x14ac:dyDescent="0.4"/>
    <row r="2" spans="1:7" ht="15" thickBot="1" x14ac:dyDescent="0.4">
      <c r="A2" s="29"/>
      <c r="B2" s="30" t="s">
        <v>78</v>
      </c>
      <c r="C2" s="30" t="s">
        <v>79</v>
      </c>
      <c r="D2" s="30" t="s">
        <v>80</v>
      </c>
      <c r="E2" s="30" t="s">
        <v>52</v>
      </c>
    </row>
    <row r="3" spans="1:7" ht="15" thickBot="1" x14ac:dyDescent="0.4">
      <c r="A3" s="31" t="s">
        <v>81</v>
      </c>
      <c r="B3" s="32">
        <v>4900</v>
      </c>
      <c r="C3" s="32">
        <v>2475</v>
      </c>
      <c r="D3" s="32">
        <v>5854</v>
      </c>
      <c r="E3" s="32">
        <f>B3+C3+D3</f>
        <v>13229</v>
      </c>
    </row>
    <row r="4" spans="1:7" ht="29.5" thickBot="1" x14ac:dyDescent="0.4">
      <c r="A4" s="34" t="s">
        <v>96</v>
      </c>
      <c r="B4" s="33">
        <v>350</v>
      </c>
      <c r="C4" s="32">
        <v>1669</v>
      </c>
      <c r="D4" s="33">
        <v>0</v>
      </c>
      <c r="E4" s="32">
        <f t="shared" ref="E4:E10" si="0">B4+C4+D4</f>
        <v>2019</v>
      </c>
    </row>
    <row r="5" spans="1:7" ht="15" thickBot="1" x14ac:dyDescent="0.4">
      <c r="A5" s="34" t="s">
        <v>82</v>
      </c>
      <c r="B5" s="33">
        <v>250</v>
      </c>
      <c r="C5" s="33">
        <v>0</v>
      </c>
      <c r="D5" s="33">
        <v>0</v>
      </c>
      <c r="E5" s="32">
        <f t="shared" si="0"/>
        <v>250</v>
      </c>
    </row>
    <row r="6" spans="1:7" ht="15" thickBot="1" x14ac:dyDescent="0.4">
      <c r="A6" s="34" t="s">
        <v>83</v>
      </c>
      <c r="B6" s="33">
        <v>320</v>
      </c>
      <c r="C6" s="33">
        <v>0</v>
      </c>
      <c r="D6" s="32">
        <v>1854</v>
      </c>
      <c r="E6" s="32">
        <f t="shared" si="0"/>
        <v>2174</v>
      </c>
    </row>
    <row r="7" spans="1:7" ht="15" thickBot="1" x14ac:dyDescent="0.4">
      <c r="A7" s="34" t="s">
        <v>84</v>
      </c>
      <c r="B7" s="32">
        <f>B3-B4-B5-B6</f>
        <v>3980</v>
      </c>
      <c r="C7" s="32">
        <f t="shared" ref="C7:D7" si="1">C3-C4-C5-C6</f>
        <v>806</v>
      </c>
      <c r="D7" s="32">
        <f t="shared" si="1"/>
        <v>4000</v>
      </c>
      <c r="E7" s="32">
        <f t="shared" si="0"/>
        <v>8786</v>
      </c>
      <c r="G7">
        <f>920+1669+1854</f>
        <v>4443</v>
      </c>
    </row>
    <row r="8" spans="1:7" ht="44" thickBot="1" x14ac:dyDescent="0.4">
      <c r="A8" s="35" t="s">
        <v>86</v>
      </c>
      <c r="B8" s="39">
        <f>B7*0.75</f>
        <v>2985</v>
      </c>
      <c r="C8" s="39">
        <f t="shared" ref="C8:D8" si="2">C7*0.75</f>
        <v>604.5</v>
      </c>
      <c r="D8" s="39">
        <f t="shared" si="2"/>
        <v>3000</v>
      </c>
      <c r="E8" s="32">
        <f t="shared" si="0"/>
        <v>6589.5</v>
      </c>
      <c r="G8">
        <f>3980+806+4000</f>
        <v>8786</v>
      </c>
    </row>
    <row r="9" spans="1:7" ht="29.5" thickBot="1" x14ac:dyDescent="0.4">
      <c r="A9" s="34" t="s">
        <v>97</v>
      </c>
      <c r="B9" s="40">
        <f>B8*0.2</f>
        <v>597</v>
      </c>
      <c r="C9" s="40">
        <f t="shared" ref="C9:D9" si="3">C8*0.2</f>
        <v>120.9</v>
      </c>
      <c r="D9" s="40">
        <f t="shared" si="3"/>
        <v>600</v>
      </c>
      <c r="E9" s="32">
        <f t="shared" si="0"/>
        <v>1317.9</v>
      </c>
    </row>
    <row r="10" spans="1:7" ht="15" thickBot="1" x14ac:dyDescent="0.4">
      <c r="A10" s="34" t="s">
        <v>85</v>
      </c>
      <c r="B10" s="41">
        <f>3396*B9/1000000</f>
        <v>2.027412</v>
      </c>
      <c r="C10" s="41">
        <f t="shared" ref="C10:D10" si="4">3396*C9/1000000</f>
        <v>0.41057640000000001</v>
      </c>
      <c r="D10" s="41">
        <f t="shared" si="4"/>
        <v>2.0375999999999999</v>
      </c>
      <c r="E10" s="42">
        <f t="shared" si="0"/>
        <v>4.4755883999999995</v>
      </c>
    </row>
    <row r="11" spans="1:7" ht="58.5" thickBot="1" x14ac:dyDescent="0.4">
      <c r="A11" s="34" t="s">
        <v>87</v>
      </c>
      <c r="B11" s="33" t="s">
        <v>98</v>
      </c>
      <c r="C11" s="33" t="s">
        <v>88</v>
      </c>
      <c r="D11" s="33" t="s">
        <v>99</v>
      </c>
      <c r="E11" s="33">
        <f>46+45+80</f>
        <v>171</v>
      </c>
      <c r="F11">
        <f>7/E11</f>
        <v>4.0935672514619881E-2</v>
      </c>
    </row>
    <row r="12" spans="1:7" ht="29" x14ac:dyDescent="0.35">
      <c r="A12" s="66" t="s">
        <v>89</v>
      </c>
      <c r="B12" s="68" t="s">
        <v>90</v>
      </c>
      <c r="C12" s="36" t="s">
        <v>91</v>
      </c>
      <c r="D12" s="68" t="s">
        <v>93</v>
      </c>
      <c r="E12" s="68">
        <f>11+7+29</f>
        <v>47</v>
      </c>
      <c r="F12">
        <f>7/E12</f>
        <v>0.14893617021276595</v>
      </c>
    </row>
    <row r="13" spans="1:7" ht="73" thickBot="1" x14ac:dyDescent="0.4">
      <c r="A13" s="67"/>
      <c r="B13" s="69"/>
      <c r="C13" s="37" t="s">
        <v>92</v>
      </c>
      <c r="D13" s="69"/>
      <c r="E13" s="69"/>
    </row>
    <row r="16" spans="1:7" x14ac:dyDescent="0.35">
      <c r="A16" s="38" t="s">
        <v>94</v>
      </c>
    </row>
    <row r="17" spans="1:3" x14ac:dyDescent="0.35">
      <c r="A17" s="38" t="s">
        <v>95</v>
      </c>
    </row>
    <row r="23" spans="1:3" x14ac:dyDescent="0.35">
      <c r="B23">
        <f>0.4*6590</f>
        <v>2636</v>
      </c>
      <c r="C23" s="4">
        <f>B23*3376</f>
        <v>8899136</v>
      </c>
    </row>
    <row r="24" spans="1:3" x14ac:dyDescent="0.35">
      <c r="B24">
        <f>0.2*6590</f>
        <v>1318</v>
      </c>
      <c r="C24" s="4">
        <f>B24*3376</f>
        <v>4449568</v>
      </c>
    </row>
    <row r="25" spans="1:3" x14ac:dyDescent="0.35">
      <c r="B25">
        <f>0.2*6590</f>
        <v>1318</v>
      </c>
    </row>
    <row r="28" spans="1:3" x14ac:dyDescent="0.35">
      <c r="B28">
        <f>0.2*4.5</f>
        <v>0.9</v>
      </c>
    </row>
  </sheetData>
  <mergeCells count="4">
    <mergeCell ref="A12:A13"/>
    <mergeCell ref="B12:B13"/>
    <mergeCell ref="D12:D13"/>
    <mergeCell ref="E12:E13"/>
  </mergeCells>
  <hyperlinks>
    <hyperlink ref="A8" location="_ftn1" display="_ftn1"/>
    <hyperlink ref="C13" location="_ftn2" display="_ftn2"/>
    <hyperlink ref="A16" location="_ftnref1" display="_ftnref1"/>
    <hyperlink ref="A17" location="_ftnref2" display="_ftnref2"/>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zoomScale="60" zoomScaleNormal="60" workbookViewId="0">
      <selection activeCell="D13" sqref="D13"/>
    </sheetView>
  </sheetViews>
  <sheetFormatPr defaultRowHeight="14.5" x14ac:dyDescent="0.35"/>
  <cols>
    <col min="1" max="1" width="38.81640625" customWidth="1"/>
    <col min="2" max="2" width="26.6328125" customWidth="1"/>
    <col min="3" max="3" width="23.1796875" customWidth="1"/>
    <col min="4" max="4" width="20.90625" customWidth="1"/>
    <col min="5" max="5" width="14" bestFit="1" customWidth="1"/>
  </cols>
  <sheetData>
    <row r="1" spans="1:5" ht="15" thickBot="1" x14ac:dyDescent="0.4"/>
    <row r="2" spans="1:5" ht="15" thickBot="1" x14ac:dyDescent="0.4">
      <c r="A2" s="47"/>
      <c r="B2" s="30" t="s">
        <v>78</v>
      </c>
      <c r="C2" s="30" t="s">
        <v>100</v>
      </c>
      <c r="D2" s="30" t="s">
        <v>104</v>
      </c>
      <c r="E2" s="30"/>
    </row>
    <row r="3" spans="1:5" ht="15" thickBot="1" x14ac:dyDescent="0.4">
      <c r="A3" s="53" t="s">
        <v>101</v>
      </c>
      <c r="B3" s="59">
        <v>2100</v>
      </c>
      <c r="C3" s="59">
        <v>5025</v>
      </c>
      <c r="D3" s="59">
        <f>15698-5854</f>
        <v>9844</v>
      </c>
      <c r="E3" s="49">
        <f>B3+C3+D3</f>
        <v>16969</v>
      </c>
    </row>
    <row r="4" spans="1:5" s="16" customFormat="1" ht="29" x14ac:dyDescent="0.35">
      <c r="A4" s="56" t="s">
        <v>102</v>
      </c>
      <c r="B4" s="58">
        <v>214</v>
      </c>
      <c r="C4" s="58" t="s">
        <v>105</v>
      </c>
      <c r="D4" s="58">
        <v>521</v>
      </c>
      <c r="E4" s="57" t="s">
        <v>113</v>
      </c>
    </row>
    <row r="5" spans="1:5" ht="29" x14ac:dyDescent="0.35">
      <c r="A5" s="54" t="s">
        <v>103</v>
      </c>
      <c r="B5" s="58">
        <v>214</v>
      </c>
      <c r="C5" s="58" t="s">
        <v>111</v>
      </c>
      <c r="D5" s="58">
        <v>521</v>
      </c>
      <c r="E5" s="50">
        <f>214+26+521</f>
        <v>761</v>
      </c>
    </row>
    <row r="6" spans="1:5" ht="44" thickBot="1" x14ac:dyDescent="0.4">
      <c r="A6" s="51" t="s">
        <v>106</v>
      </c>
      <c r="B6" s="60">
        <v>38</v>
      </c>
      <c r="C6" s="60">
        <v>11</v>
      </c>
      <c r="D6" s="60">
        <v>170</v>
      </c>
      <c r="E6" s="48">
        <f>B6+C6+D6</f>
        <v>219</v>
      </c>
    </row>
    <row r="7" spans="1:5" ht="29.5" thickBot="1" x14ac:dyDescent="0.4">
      <c r="A7" s="51" t="s">
        <v>114</v>
      </c>
      <c r="B7" s="61">
        <f>(240000/0.4)/1000000</f>
        <v>0.6</v>
      </c>
      <c r="C7" s="61">
        <f>220000/1000000</f>
        <v>0.22</v>
      </c>
      <c r="D7" s="61">
        <f>2800000/1000000</f>
        <v>2.8</v>
      </c>
      <c r="E7" s="55">
        <f t="shared" ref="E7:E10" si="0">B7+C7+D7</f>
        <v>3.6199999999999997</v>
      </c>
    </row>
    <row r="8" spans="1:5" ht="78" customHeight="1" thickBot="1" x14ac:dyDescent="0.4">
      <c r="A8" s="51" t="s">
        <v>112</v>
      </c>
      <c r="B8" s="60" t="s">
        <v>107</v>
      </c>
      <c r="C8" s="60" t="s">
        <v>108</v>
      </c>
      <c r="D8" s="60" t="s">
        <v>109</v>
      </c>
      <c r="E8" s="48"/>
    </row>
    <row r="9" spans="1:5" ht="29.5" thickBot="1" x14ac:dyDescent="0.4">
      <c r="A9" s="51" t="s">
        <v>115</v>
      </c>
      <c r="B9" s="62">
        <f>0.4*B7</f>
        <v>0.24</v>
      </c>
      <c r="C9" s="62">
        <f>0.6*C7</f>
        <v>0.13200000000000001</v>
      </c>
      <c r="D9" s="62">
        <f>0.4*D7</f>
        <v>1.1199999999999999</v>
      </c>
      <c r="E9" s="64">
        <f t="shared" si="0"/>
        <v>1.492</v>
      </c>
    </row>
    <row r="10" spans="1:5" ht="15" thickBot="1" x14ac:dyDescent="0.4">
      <c r="A10" s="52" t="s">
        <v>110</v>
      </c>
      <c r="B10" s="63">
        <f>1.55*B9/0.85</f>
        <v>0.43764705882352944</v>
      </c>
      <c r="C10" s="63">
        <f t="shared" ref="C10:D10" si="1">1.55*C9/0.85</f>
        <v>0.24070588235294119</v>
      </c>
      <c r="D10" s="63">
        <f t="shared" si="1"/>
        <v>2.0423529411764703</v>
      </c>
      <c r="E10" s="64">
        <f t="shared" si="0"/>
        <v>2.7207058823529406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5</vt:i4>
      </vt:variant>
      <vt:variant>
        <vt:lpstr>Benoemde bereiken</vt:lpstr>
      </vt:variant>
      <vt:variant>
        <vt:i4>4</vt:i4>
      </vt:variant>
    </vt:vector>
  </HeadingPairs>
  <TitlesOfParts>
    <vt:vector size="9" baseType="lpstr">
      <vt:lpstr>rekenmodel</vt:lpstr>
      <vt:lpstr>kasstromen achtergrond</vt:lpstr>
      <vt:lpstr>aantal panelen per woning</vt:lpstr>
      <vt:lpstr>egw-potentieel </vt:lpstr>
      <vt:lpstr>collmeters potentieel</vt:lpstr>
      <vt:lpstr>'egw-potentieel '!_ftn1</vt:lpstr>
      <vt:lpstr>'egw-potentieel '!_ftn2</vt:lpstr>
      <vt:lpstr>'egw-potentieel '!_ftnref1</vt:lpstr>
      <vt:lpstr>'egw-potentieel '!_ftnref2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Corpeleijn</dc:creator>
  <cp:lastModifiedBy>Corpeleijn</cp:lastModifiedBy>
  <dcterms:created xsi:type="dcterms:W3CDTF">2015-08-18T11:56:08Z</dcterms:created>
  <dcterms:modified xsi:type="dcterms:W3CDTF">2017-03-22T12:30:07Z</dcterms:modified>
</cp:coreProperties>
</file>