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1676" windowHeight="9288" activeTab="0"/>
  </bookViews>
  <sheets>
    <sheet name="Rekenmodel" sheetId="1" r:id="rId1"/>
    <sheet name="Rekengegevens" sheetId="2" state="hidden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<sst xmlns="http://schemas.openxmlformats.org/spreadsheetml/2006/main" count="162" uniqueCount="133">
  <si>
    <t>€/kWh</t>
  </si>
  <si>
    <t>€/maand</t>
  </si>
  <si>
    <t>kWh/jaar</t>
  </si>
  <si>
    <t>De panelen leveren naar schatting*</t>
  </si>
  <si>
    <t>West</t>
  </si>
  <si>
    <t>0°</t>
  </si>
  <si>
    <t>Zuid-West</t>
  </si>
  <si>
    <t>Zuid</t>
  </si>
  <si>
    <t>Zuid-Oost</t>
  </si>
  <si>
    <t>Oost</t>
  </si>
  <si>
    <t>10°</t>
  </si>
  <si>
    <t>20°</t>
  </si>
  <si>
    <t>30°</t>
  </si>
  <si>
    <t>40°</t>
  </si>
  <si>
    <t>50°</t>
  </si>
  <si>
    <t>60°</t>
  </si>
  <si>
    <t>70°</t>
  </si>
  <si>
    <t>80°</t>
  </si>
  <si>
    <t>Groningen</t>
  </si>
  <si>
    <t>Friesland</t>
  </si>
  <si>
    <t>Drenthe</t>
  </si>
  <si>
    <t>Overijssel</t>
  </si>
  <si>
    <t>Gelderland</t>
  </si>
  <si>
    <t>Utrecht</t>
  </si>
  <si>
    <t>Flevoland</t>
  </si>
  <si>
    <t>Noord-Holland</t>
  </si>
  <si>
    <t>Zuid-Holland</t>
  </si>
  <si>
    <t>Zeeland</t>
  </si>
  <si>
    <t>Noord-Brabant</t>
  </si>
  <si>
    <t>Limburg</t>
  </si>
  <si>
    <t>Zoninstraling</t>
  </si>
  <si>
    <t>* Deze berekeningen zijn indicatief, hier kunnen geen rechten aan worden ontleend</t>
  </si>
  <si>
    <t>Puntenverschil</t>
  </si>
  <si>
    <t>euro's huurverhoging</t>
  </si>
  <si>
    <t>huurprijs vb</t>
  </si>
  <si>
    <t>De netto huurverhoging wordt*</t>
  </si>
  <si>
    <t>factor</t>
  </si>
  <si>
    <t>a</t>
  </si>
  <si>
    <t>b</t>
  </si>
  <si>
    <t>Eenpersoonshuishouden</t>
  </si>
  <si>
    <t>Meerpersoonshuishouden</t>
  </si>
  <si>
    <t>Eenpersoonsouderenhuishouden</t>
  </si>
  <si>
    <t>Meerpersoonsouderenhuishouden</t>
  </si>
  <si>
    <t>normhuur</t>
  </si>
  <si>
    <t>kwaliteitskortingsgrens</t>
  </si>
  <si>
    <t>aftopping laag</t>
  </si>
  <si>
    <t>aftopping hoog</t>
  </si>
  <si>
    <t>max. huurprijs</t>
  </si>
  <si>
    <t>Max huurtoeslag &lt;23, geen kind</t>
  </si>
  <si>
    <t>ouderen/alleenstaanden/gehand 1 of 2 pers</t>
  </si>
  <si>
    <t>ouderen/alleenstaanden/gehand 3 of meer pers</t>
  </si>
  <si>
    <t>Huidige huurprijs</t>
  </si>
  <si>
    <t>Nieuwe huurprijs</t>
  </si>
  <si>
    <t>maximuminkomens</t>
  </si>
  <si>
    <t>ep huishouden</t>
  </si>
  <si>
    <t>mp huishouden</t>
  </si>
  <si>
    <t>ep ouderenhuishouden</t>
  </si>
  <si>
    <t>mp ouderenhuishouden</t>
  </si>
  <si>
    <t>basishuur ep</t>
  </si>
  <si>
    <t>basishuur mp</t>
  </si>
  <si>
    <t>basishuur ep ouderen</t>
  </si>
  <si>
    <t>basishuur mp ouderen</t>
  </si>
  <si>
    <t>min. basishuur ep</t>
  </si>
  <si>
    <t>min. basishuur mp</t>
  </si>
  <si>
    <t>min. basishuur ep ouderen</t>
  </si>
  <si>
    <t>min. basishuur mp ouderen</t>
  </si>
  <si>
    <t>100% vergoed 23-pensioen</t>
  </si>
  <si>
    <t>100% vergoed ep senioren</t>
  </si>
  <si>
    <t>100% vergoed mp senioren</t>
  </si>
  <si>
    <t>65% ep senioren</t>
  </si>
  <si>
    <t>65% 1/2 pers 23-pensioen</t>
  </si>
  <si>
    <t>65% 3 of meer per 23-pensioen</t>
  </si>
  <si>
    <t>65% 2p senioren</t>
  </si>
  <si>
    <t>65% 3 of meer p senioren</t>
  </si>
  <si>
    <t>Huurtoeslag som</t>
  </si>
  <si>
    <t>&lt;23 geen kind/hcp</t>
  </si>
  <si>
    <t>23-pensioen 1p</t>
  </si>
  <si>
    <t>23-pensioen 2p</t>
  </si>
  <si>
    <t>&lt;23 wel hcp, 3p+</t>
  </si>
  <si>
    <t>&lt;23 wel hcp, 1/2p</t>
  </si>
  <si>
    <t>&lt;23 wel kind, 1p</t>
  </si>
  <si>
    <t>&lt;23 wel kind, 2p</t>
  </si>
  <si>
    <t>&lt;23 wel kind, 3p+</t>
  </si>
  <si>
    <t>23-pensioen 3p+</t>
  </si>
  <si>
    <t>23-pensioen 1/2p hcp</t>
  </si>
  <si>
    <t>23-pensioen 3p+ hcp</t>
  </si>
  <si>
    <t>pens+ 1p</t>
  </si>
  <si>
    <t>pens+ 2p</t>
  </si>
  <si>
    <t>pens+ 3p+</t>
  </si>
  <si>
    <t>nu</t>
  </si>
  <si>
    <t>paneel</t>
  </si>
  <si>
    <t>panelen</t>
  </si>
  <si>
    <t>verschil</t>
  </si>
  <si>
    <t>Voordeel van zonnepanelen</t>
  </si>
  <si>
    <t>De roze vakjes moet u altijd invullen</t>
  </si>
  <si>
    <t>Huurtoeslag</t>
  </si>
  <si>
    <t>De huurtoeslag over de panelen wordt*</t>
  </si>
  <si>
    <t>kWh</t>
  </si>
  <si>
    <t>Per jaar</t>
  </si>
  <si>
    <t>Per maand</t>
  </si>
  <si>
    <t>De besparing op elektra wordt*</t>
  </si>
  <si>
    <t>De huurverhoging bedraagt (vóór huursubsidie)</t>
  </si>
  <si>
    <t>Uw voordeel is (besparing min netto huurverhoging)*</t>
  </si>
  <si>
    <t>Uw voordeel bij zonnepanelen op uw huurwoning</t>
  </si>
  <si>
    <t>Plat dak</t>
  </si>
  <si>
    <t>aantal panelen is verstandig?</t>
  </si>
  <si>
    <t>Aantal panelen aangeboden</t>
  </si>
  <si>
    <t>Aanbod (brief van de verhuurder)</t>
  </si>
  <si>
    <t>Welke huurverhoging rekent de verhuurder?</t>
  </si>
  <si>
    <t>Piektarief</t>
  </si>
  <si>
    <t>Daltarief</t>
  </si>
  <si>
    <t>Gemiddeld</t>
  </si>
  <si>
    <t>BTW</t>
  </si>
  <si>
    <t>besparing volgens verhuurder</t>
  </si>
  <si>
    <t>kwh/jaar</t>
  </si>
  <si>
    <t>http://www.belastingdienst.nl/wps/wcm/connect/bldcontentnl/belastingdienst/zakelijk/overige_belastingen/belastingen_op_milieugrondslag/tarieven_milieubelastingen/tabellen_tarieven_milieubelastingen</t>
  </si>
  <si>
    <t>Opslag duurzame energie op elektriciteit</t>
  </si>
  <si>
    <t>Energiebelasting op elektriciteit (0 t/m 10.000 kwh)</t>
  </si>
  <si>
    <t>Situatie van de huurder - opbouw elektratarief</t>
  </si>
  <si>
    <t>Situatie huurder - elektragebruik</t>
  </si>
  <si>
    <t>http://www.belastingdienst.nl/rekenhulpen/toeslagen/</t>
  </si>
  <si>
    <t>Hoeveel wordt de huurtoeslag hoger met zonnepanelen</t>
  </si>
  <si>
    <t>euro/jaar</t>
  </si>
  <si>
    <t>kwh per jaar</t>
  </si>
  <si>
    <t>De grijze vakjes worden automatisch berekend</t>
  </si>
  <si>
    <t>zonnepanelen</t>
  </si>
  <si>
    <t>Adres huurder</t>
  </si>
  <si>
    <t>Naam huurder</t>
  </si>
  <si>
    <t>tarieven 2014, zie:</t>
  </si>
  <si>
    <t>te berekenen via</t>
  </si>
  <si>
    <t>Huurtoeslag nu</t>
  </si>
  <si>
    <t>Huurtoeslag met zonnepanelen in de huur</t>
  </si>
  <si>
    <t>Email voor toesturen berekening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</si>
</sst>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0.000"/>
    <numFmt numFmtId="167" formatCode="0.0000"/>
    <numFmt numFmtId="168" formatCode="_ * #,##0.0_ ;_ * \-#,##0.0_ ;_ * &quot;-&quot;??_ ;_ @_ "/>
    <numFmt numFmtId="169" formatCode="_ * #,##0_ ;_ * \-#,##0_ ;_ * &quot;-&quot;??_ ;_ @_ "/>
    <numFmt numFmtId="170" formatCode="0.00000"/>
  </numFmts>
  <fonts count="44">
    <font>
      <sz val="9"/>
      <color theme="1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sz val="8"/>
      <color indexed="8"/>
      <name val="Arial"/>
      <family val="2"/>
    </font>
    <font>
      <b/>
      <sz val="16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i/>
      <sz val="9"/>
      <color indexed="8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sz val="8"/>
      <color rgb="FF000000"/>
      <name val="Arial"/>
      <family val="2"/>
    </font>
    <font>
      <b/>
      <sz val="16"/>
      <color theme="1"/>
      <name val="Verdana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i/>
      <sz val="9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17" borderId="0" xfId="0" applyFill="1" applyAlignment="1">
      <alignment/>
    </xf>
    <xf numFmtId="9" fontId="0" fillId="11" borderId="0" xfId="53" applyFont="1" applyFill="1" applyAlignment="1">
      <alignment/>
    </xf>
    <xf numFmtId="0" fontId="0" fillId="18" borderId="0" xfId="0" applyFill="1" applyAlignment="1">
      <alignment/>
    </xf>
    <xf numFmtId="164" fontId="0" fillId="12" borderId="0" xfId="53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38" borderId="0" xfId="0" applyFill="1" applyAlignment="1">
      <alignment/>
    </xf>
    <xf numFmtId="0" fontId="35" fillId="11" borderId="0" xfId="0" applyFont="1" applyFill="1" applyAlignment="1">
      <alignment/>
    </xf>
    <xf numFmtId="0" fontId="39" fillId="0" borderId="12" xfId="0" applyFont="1" applyBorder="1" applyAlignment="1">
      <alignment vertical="center" wrapText="1"/>
    </xf>
    <xf numFmtId="0" fontId="0" fillId="39" borderId="0" xfId="0" applyFill="1" applyAlignment="1">
      <alignment/>
    </xf>
    <xf numFmtId="1" fontId="0" fillId="39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40" fillId="2" borderId="0" xfId="0" applyFont="1" applyFill="1" applyAlignment="1" applyProtection="1">
      <alignment/>
      <protection/>
    </xf>
    <xf numFmtId="0" fontId="35" fillId="2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35" fillId="14" borderId="0" xfId="0" applyFont="1" applyFill="1" applyAlignment="1" applyProtection="1">
      <alignment/>
      <protection/>
    </xf>
    <xf numFmtId="0" fontId="35" fillId="14" borderId="0" xfId="0" applyFont="1" applyFill="1" applyAlignment="1" applyProtection="1">
      <alignment horizontal="right"/>
      <protection/>
    </xf>
    <xf numFmtId="1" fontId="0" fillId="1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14" borderId="0" xfId="0" applyFont="1" applyFill="1" applyAlignment="1" applyProtection="1">
      <alignment/>
      <protection/>
    </xf>
    <xf numFmtId="1" fontId="0" fillId="14" borderId="0" xfId="57" applyNumberFormat="1" applyFont="1" applyFill="1" applyAlignment="1" applyProtection="1">
      <alignment/>
      <protection/>
    </xf>
    <xf numFmtId="0" fontId="43" fillId="9" borderId="0" xfId="0" applyFont="1" applyFill="1" applyAlignment="1" applyProtection="1">
      <alignment horizontal="center"/>
      <protection/>
    </xf>
    <xf numFmtId="0" fontId="43" fillId="9" borderId="0" xfId="0" applyFont="1" applyFill="1" applyAlignment="1" applyProtection="1">
      <alignment horizontal="center"/>
      <protection/>
    </xf>
    <xf numFmtId="0" fontId="0" fillId="39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35" fillId="39" borderId="0" xfId="0" applyFont="1" applyFill="1" applyAlignment="1">
      <alignment horizontal="left"/>
    </xf>
    <xf numFmtId="169" fontId="0" fillId="9" borderId="0" xfId="44" applyNumberFormat="1" applyFont="1" applyFill="1" applyAlignment="1" applyProtection="1">
      <alignment/>
      <protection locked="0"/>
    </xf>
    <xf numFmtId="166" fontId="0" fillId="9" borderId="0" xfId="0" applyNumberFormat="1" applyFill="1" applyAlignment="1" applyProtection="1">
      <alignment/>
      <protection locked="0"/>
    </xf>
    <xf numFmtId="166" fontId="0" fillId="40" borderId="0" xfId="0" applyNumberFormat="1" applyFill="1" applyAlignment="1" applyProtection="1">
      <alignment/>
      <protection locked="0"/>
    </xf>
    <xf numFmtId="2" fontId="0" fillId="9" borderId="0" xfId="0" applyNumberForma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43" fillId="40" borderId="0" xfId="0" applyFont="1" applyFill="1" applyAlignment="1" applyProtection="1">
      <alignment horizontal="center"/>
      <protection/>
    </xf>
    <xf numFmtId="0" fontId="0" fillId="9" borderId="0" xfId="0" applyFill="1" applyAlignment="1" applyProtection="1">
      <alignment horizontal="right"/>
      <protection locked="0"/>
    </xf>
    <xf numFmtId="0" fontId="43" fillId="40" borderId="0" xfId="0" applyFont="1" applyFill="1" applyAlignment="1" applyProtection="1">
      <alignment horizontal="center"/>
      <protection/>
    </xf>
    <xf numFmtId="0" fontId="43" fillId="40" borderId="0" xfId="0" applyFont="1" applyFill="1" applyAlignment="1" applyProtection="1">
      <alignment horizontal="left" vertical="top"/>
      <protection/>
    </xf>
    <xf numFmtId="0" fontId="35" fillId="2" borderId="0" xfId="0" applyFont="1" applyFill="1" applyAlignment="1" applyProtection="1">
      <alignment horizontal="left" vertical="top"/>
      <protection/>
    </xf>
    <xf numFmtId="1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">
      <selection activeCell="C40" sqref="C40"/>
    </sheetView>
  </sheetViews>
  <sheetFormatPr defaultColWidth="9.00390625" defaultRowHeight="11.25"/>
  <cols>
    <col min="1" max="1" width="4.00390625" style="28" customWidth="1"/>
    <col min="2" max="2" width="42.75390625" style="28" customWidth="1"/>
    <col min="3" max="3" width="18.125" style="28" customWidth="1"/>
    <col min="4" max="4" width="9.875" style="28" customWidth="1"/>
    <col min="5" max="5" width="16.625" style="28" customWidth="1"/>
  </cols>
  <sheetData>
    <row r="1" spans="1:5" ht="11.25">
      <c r="A1" s="21"/>
      <c r="B1" s="21"/>
      <c r="C1" s="21"/>
      <c r="D1" s="21"/>
      <c r="E1" s="21"/>
    </row>
    <row r="2" spans="1:5" ht="19.5">
      <c r="A2" s="21"/>
      <c r="B2" s="22" t="s">
        <v>103</v>
      </c>
      <c r="C2" s="21"/>
      <c r="D2" s="21"/>
      <c r="E2" s="21"/>
    </row>
    <row r="3" spans="1:5" ht="11.25" customHeight="1">
      <c r="A3" s="21"/>
      <c r="B3" s="22"/>
      <c r="C3" s="21"/>
      <c r="D3" s="21"/>
      <c r="E3" s="21"/>
    </row>
    <row r="4" spans="1:5" ht="11.25" customHeight="1">
      <c r="A4" s="21"/>
      <c r="B4" s="33" t="s">
        <v>94</v>
      </c>
      <c r="C4" s="33"/>
      <c r="D4" s="21"/>
      <c r="E4" s="21"/>
    </row>
    <row r="5" spans="1:5" ht="11.25" customHeight="1">
      <c r="A5" s="21"/>
      <c r="B5" s="43" t="s">
        <v>124</v>
      </c>
      <c r="C5" s="43"/>
      <c r="D5" s="21"/>
      <c r="E5" s="21"/>
    </row>
    <row r="6" spans="1:5" ht="11.25" customHeight="1">
      <c r="A6" s="21"/>
      <c r="B6" s="46"/>
      <c r="C6" s="45"/>
      <c r="D6" s="21"/>
      <c r="E6" s="21"/>
    </row>
    <row r="7" spans="1:5" ht="11.25" customHeight="1">
      <c r="A7" s="21"/>
      <c r="B7" s="47" t="s">
        <v>127</v>
      </c>
      <c r="C7" s="32"/>
      <c r="D7" s="42"/>
      <c r="E7" s="42"/>
    </row>
    <row r="8" spans="1:5" ht="11.25" customHeight="1">
      <c r="A8" s="21"/>
      <c r="B8" s="47" t="s">
        <v>126</v>
      </c>
      <c r="C8" s="32"/>
      <c r="D8" s="42"/>
      <c r="E8" s="42"/>
    </row>
    <row r="9" spans="1:5" ht="11.25">
      <c r="A9" s="21"/>
      <c r="B9" s="23" t="s">
        <v>132</v>
      </c>
      <c r="C9" s="42"/>
      <c r="D9" s="42"/>
      <c r="E9" s="42"/>
    </row>
    <row r="10" spans="1:5" ht="11.25">
      <c r="A10" s="21"/>
      <c r="B10" s="21"/>
      <c r="C10" s="21"/>
      <c r="D10" s="21"/>
      <c r="E10" s="21"/>
    </row>
    <row r="11" spans="1:5" ht="11.25">
      <c r="A11" s="21"/>
      <c r="B11" s="23" t="s">
        <v>107</v>
      </c>
      <c r="C11" s="21"/>
      <c r="D11" s="21"/>
      <c r="E11" s="21"/>
    </row>
    <row r="12" spans="1:5" ht="11.25">
      <c r="A12" s="21"/>
      <c r="B12" s="21" t="s">
        <v>106</v>
      </c>
      <c r="C12" s="44">
        <v>9</v>
      </c>
      <c r="D12" s="21" t="s">
        <v>125</v>
      </c>
      <c r="E12" s="21"/>
    </row>
    <row r="13" spans="1:5" ht="11.25">
      <c r="A13" s="21"/>
      <c r="B13" s="21" t="s">
        <v>108</v>
      </c>
      <c r="C13" s="40">
        <v>27.92</v>
      </c>
      <c r="D13" s="21" t="s">
        <v>1</v>
      </c>
      <c r="E13" s="21"/>
    </row>
    <row r="14" spans="1:5" ht="11.25">
      <c r="A14" s="21"/>
      <c r="B14" s="21" t="s">
        <v>113</v>
      </c>
      <c r="C14" s="37">
        <v>2020</v>
      </c>
      <c r="D14" s="21" t="s">
        <v>114</v>
      </c>
      <c r="E14" s="21"/>
    </row>
    <row r="15" spans="1:5" ht="11.25">
      <c r="A15" s="21"/>
      <c r="B15" s="21"/>
      <c r="C15" s="48"/>
      <c r="D15" s="21"/>
      <c r="E15" s="21"/>
    </row>
    <row r="16" spans="1:5" ht="11.25">
      <c r="A16" s="21"/>
      <c r="B16" s="23" t="s">
        <v>118</v>
      </c>
      <c r="C16" s="39">
        <f>SUM(C19:C22)</f>
        <v>0.22626999999999997</v>
      </c>
      <c r="D16" s="21" t="s">
        <v>0</v>
      </c>
      <c r="E16" s="21"/>
    </row>
    <row r="17" spans="1:6" ht="11.25">
      <c r="A17" s="21"/>
      <c r="B17" s="21" t="s">
        <v>109</v>
      </c>
      <c r="C17" s="38">
        <v>0.067</v>
      </c>
      <c r="D17" s="21" t="s">
        <v>0</v>
      </c>
      <c r="E17" s="42">
        <v>1500</v>
      </c>
      <c r="F17" t="s">
        <v>123</v>
      </c>
    </row>
    <row r="18" spans="1:6" ht="11.25">
      <c r="A18" s="21"/>
      <c r="B18" s="21" t="s">
        <v>110</v>
      </c>
      <c r="C18" s="38">
        <v>0.065</v>
      </c>
      <c r="D18" s="21" t="s">
        <v>0</v>
      </c>
      <c r="E18" s="42">
        <v>1000</v>
      </c>
      <c r="F18" t="s">
        <v>123</v>
      </c>
    </row>
    <row r="19" spans="1:5" ht="11.25">
      <c r="A19" s="21"/>
      <c r="B19" s="21" t="s">
        <v>111</v>
      </c>
      <c r="C19" s="39">
        <f>(C17*E17+C18*E18)/C24</f>
        <v>0.0662</v>
      </c>
      <c r="D19" s="21" t="s">
        <v>0</v>
      </c>
      <c r="E19" s="21"/>
    </row>
    <row r="20" spans="1:6" ht="11.25">
      <c r="A20" s="21"/>
      <c r="B20" s="21" t="s">
        <v>117</v>
      </c>
      <c r="C20" s="49">
        <v>0.1185</v>
      </c>
      <c r="D20" s="21" t="s">
        <v>0</v>
      </c>
      <c r="E20" s="21" t="s">
        <v>128</v>
      </c>
      <c r="F20" t="s">
        <v>115</v>
      </c>
    </row>
    <row r="21" spans="1:6" ht="11.25">
      <c r="A21" s="21"/>
      <c r="B21" s="21" t="s">
        <v>116</v>
      </c>
      <c r="C21" s="49">
        <v>0.0023</v>
      </c>
      <c r="D21" s="21" t="s">
        <v>0</v>
      </c>
      <c r="E21" s="21" t="s">
        <v>128</v>
      </c>
      <c r="F21" t="s">
        <v>115</v>
      </c>
    </row>
    <row r="22" spans="1:5" ht="11.25">
      <c r="A22" s="21"/>
      <c r="B22" s="21" t="s">
        <v>112</v>
      </c>
      <c r="C22" s="39">
        <f>0.21*(C19+C20+C21)</f>
        <v>0.03926999999999999</v>
      </c>
      <c r="D22" s="21" t="s">
        <v>0</v>
      </c>
      <c r="E22" s="21"/>
    </row>
    <row r="23" spans="1:5" ht="11.25">
      <c r="A23" s="21"/>
      <c r="B23" s="21"/>
      <c r="C23" s="50"/>
      <c r="D23" s="21"/>
      <c r="E23" s="21"/>
    </row>
    <row r="24" spans="1:5" ht="11.25">
      <c r="A24" s="21"/>
      <c r="B24" s="23" t="s">
        <v>119</v>
      </c>
      <c r="C24" s="37">
        <f>E17+E18</f>
        <v>2500</v>
      </c>
      <c r="D24" s="21" t="s">
        <v>2</v>
      </c>
      <c r="E24" s="21"/>
    </row>
    <row r="25" spans="1:5" ht="11.25">
      <c r="A25" s="21"/>
      <c r="B25" s="21"/>
      <c r="C25" s="21"/>
      <c r="D25" s="21"/>
      <c r="E25" s="21"/>
    </row>
    <row r="26" spans="1:5" ht="11.25">
      <c r="A26" s="21"/>
      <c r="B26" s="23" t="s">
        <v>95</v>
      </c>
      <c r="C26" s="21"/>
      <c r="D26" s="21"/>
      <c r="E26" s="21"/>
    </row>
    <row r="27" spans="1:4" ht="11.25">
      <c r="A27" s="21"/>
      <c r="B27" s="41" t="s">
        <v>121</v>
      </c>
      <c r="C27" s="42">
        <f>C29-C28</f>
        <v>0</v>
      </c>
      <c r="D27" s="21" t="s">
        <v>122</v>
      </c>
    </row>
    <row r="28" spans="1:6" ht="11.25">
      <c r="A28" s="21"/>
      <c r="B28" s="41" t="s">
        <v>130</v>
      </c>
      <c r="C28" s="42">
        <v>0</v>
      </c>
      <c r="D28" s="21" t="s">
        <v>122</v>
      </c>
      <c r="E28" s="21" t="s">
        <v>129</v>
      </c>
      <c r="F28" s="41" t="s">
        <v>120</v>
      </c>
    </row>
    <row r="29" spans="1:6" ht="11.25">
      <c r="A29" s="21"/>
      <c r="B29" s="21" t="s">
        <v>131</v>
      </c>
      <c r="C29" s="42">
        <v>0</v>
      </c>
      <c r="D29" s="21" t="s">
        <v>122</v>
      </c>
      <c r="E29" s="21" t="s">
        <v>129</v>
      </c>
      <c r="F29" s="41" t="s">
        <v>120</v>
      </c>
    </row>
    <row r="30" spans="1:5" ht="11.25">
      <c r="A30" s="24"/>
      <c r="B30" s="24"/>
      <c r="C30" s="24"/>
      <c r="D30" s="24"/>
      <c r="E30" s="24"/>
    </row>
    <row r="31" spans="1:5" ht="11.25">
      <c r="A31" s="24"/>
      <c r="B31" s="25" t="s">
        <v>93</v>
      </c>
      <c r="C31" s="26" t="s">
        <v>98</v>
      </c>
      <c r="D31" s="26" t="s">
        <v>99</v>
      </c>
      <c r="E31" s="24"/>
    </row>
    <row r="32" spans="1:5" ht="11.25">
      <c r="A32" s="24"/>
      <c r="B32" s="24" t="s">
        <v>3</v>
      </c>
      <c r="C32" s="27">
        <f>C14</f>
        <v>2020</v>
      </c>
      <c r="D32" s="27">
        <f>C32/12</f>
        <v>168.33333333333334</v>
      </c>
      <c r="E32" s="24" t="s">
        <v>97</v>
      </c>
    </row>
    <row r="33" spans="1:5" ht="11.25" hidden="1">
      <c r="A33" s="24"/>
      <c r="B33" s="24"/>
      <c r="C33" s="27" t="e">
        <f>IF(Rekenmodel!#REF!="West",2,IF(Rekenmodel!#REF!="Zuid-West",3,IF(Rekenmodel!#REF!="Zuid",4,IF(Rekenmodel!#REF!="Zuid-Oost",5,IF(Rekenmodel!#REF!="Oost",6,IF(Rekenmodel!#REF!="Plat dak",4,6))))))</f>
        <v>#REF!</v>
      </c>
      <c r="D33" s="27"/>
      <c r="E33" s="24"/>
    </row>
    <row r="34" spans="1:5" ht="11.25">
      <c r="A34" s="24"/>
      <c r="B34" s="24" t="s">
        <v>100</v>
      </c>
      <c r="C34" s="31">
        <f>C32*C16</f>
        <v>457.06539999999995</v>
      </c>
      <c r="D34" s="31">
        <f>C34/12</f>
        <v>38.08878333333333</v>
      </c>
      <c r="E34" s="24"/>
    </row>
    <row r="35" spans="1:5" ht="11.25">
      <c r="A35" s="24"/>
      <c r="B35" s="24" t="s">
        <v>101</v>
      </c>
      <c r="C35" s="31">
        <f>C13*12</f>
        <v>335.04</v>
      </c>
      <c r="D35" s="31">
        <f>C13</f>
        <v>27.92</v>
      </c>
      <c r="E35" s="24"/>
    </row>
    <row r="36" spans="1:5" ht="11.25">
      <c r="A36" s="24"/>
      <c r="B36" s="24" t="s">
        <v>96</v>
      </c>
      <c r="C36" s="31">
        <f>C27</f>
        <v>0</v>
      </c>
      <c r="D36" s="31">
        <f>C36/12</f>
        <v>0</v>
      </c>
      <c r="E36" s="24"/>
    </row>
    <row r="37" spans="1:5" ht="11.25">
      <c r="A37" s="24"/>
      <c r="B37" s="24" t="s">
        <v>35</v>
      </c>
      <c r="C37" s="31">
        <f>D37*12</f>
        <v>335.04</v>
      </c>
      <c r="D37" s="31">
        <f>C13-D36</f>
        <v>27.92</v>
      </c>
      <c r="E37" s="24"/>
    </row>
    <row r="38" spans="1:5" ht="11.25">
      <c r="A38" s="24"/>
      <c r="B38" s="24" t="s">
        <v>102</v>
      </c>
      <c r="C38" s="31">
        <f>D38*12</f>
        <v>122.02539999999996</v>
      </c>
      <c r="D38" s="31">
        <f>D34-D37</f>
        <v>10.16878333333333</v>
      </c>
      <c r="E38" s="24"/>
    </row>
    <row r="39" spans="1:5" ht="11.25">
      <c r="A39" s="24"/>
      <c r="B39" s="24" t="s">
        <v>105</v>
      </c>
      <c r="C39" s="24" t="str">
        <f>IF(C24&gt;C32,"ja, meer verbruik dan wordt opgewekt","nee, minder verbruik dan wordt opgewekt, minder panelen wellicht verstandig")</f>
        <v>ja, meer verbruik dan wordt opgewekt</v>
      </c>
      <c r="D39" s="24"/>
      <c r="E39" s="24"/>
    </row>
    <row r="40" spans="1:5" ht="11.25">
      <c r="A40" s="30" t="s">
        <v>31</v>
      </c>
      <c r="B40" s="24"/>
      <c r="C40" s="24"/>
      <c r="D40" s="24"/>
      <c r="E40" s="24"/>
    </row>
    <row r="47" ht="11.25">
      <c r="B47" s="29"/>
    </row>
  </sheetData>
  <sheetProtection selectLockedCells="1"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G2" sqref="G2"/>
    </sheetView>
  </sheetViews>
  <sheetFormatPr defaultColWidth="9.00390625" defaultRowHeight="11.25"/>
  <cols>
    <col min="1" max="1" width="20.375" style="0" bestFit="1" customWidth="1"/>
    <col min="2" max="2" width="9.00390625" style="0" customWidth="1"/>
    <col min="5" max="5" width="10.125" style="0" customWidth="1"/>
    <col min="8" max="8" width="12.375" style="0" bestFit="1" customWidth="1"/>
    <col min="9" max="9" width="18.00390625" style="0" hidden="1" customWidth="1"/>
    <col min="10" max="10" width="11.00390625" style="0" customWidth="1"/>
    <col min="12" max="12" width="0" style="0" hidden="1" customWidth="1"/>
  </cols>
  <sheetData>
    <row r="1" spans="1:13" ht="11.25">
      <c r="A1" s="1"/>
      <c r="B1" s="1" t="s">
        <v>4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104</v>
      </c>
      <c r="K1" s="9" t="s">
        <v>32</v>
      </c>
      <c r="L1" s="9" t="s">
        <v>34</v>
      </c>
      <c r="M1" s="9" t="s">
        <v>33</v>
      </c>
    </row>
    <row r="2" spans="1:12" ht="12" thickBot="1">
      <c r="A2" s="1" t="s">
        <v>5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K2" s="7">
        <v>0</v>
      </c>
      <c r="L2" s="8">
        <v>366.88</v>
      </c>
    </row>
    <row r="3" spans="1:13" ht="12" thickBot="1">
      <c r="A3" s="1" t="s">
        <v>10</v>
      </c>
      <c r="B3" s="2">
        <v>0.85</v>
      </c>
      <c r="C3" s="2">
        <v>0.9</v>
      </c>
      <c r="D3" s="2">
        <v>0.92</v>
      </c>
      <c r="E3" s="2">
        <v>0.9</v>
      </c>
      <c r="F3" s="2">
        <v>0.84</v>
      </c>
      <c r="G3" s="2">
        <v>0.92</v>
      </c>
      <c r="K3" s="7">
        <v>1</v>
      </c>
      <c r="L3" s="8">
        <v>371.9</v>
      </c>
      <c r="M3">
        <f aca="true" t="shared" si="0" ref="M3:M46">L3-$L$2</f>
        <v>5.019999999999982</v>
      </c>
    </row>
    <row r="4" spans="1:13" ht="12" thickBot="1">
      <c r="A4" s="1" t="s">
        <v>11</v>
      </c>
      <c r="B4" s="2">
        <v>0.85</v>
      </c>
      <c r="C4" s="2">
        <v>0.93</v>
      </c>
      <c r="D4" s="2">
        <v>0.96</v>
      </c>
      <c r="E4" s="2">
        <v>0.92</v>
      </c>
      <c r="F4" s="2">
        <v>0.82</v>
      </c>
      <c r="G4" s="2">
        <v>0.96</v>
      </c>
      <c r="K4" s="8">
        <v>2</v>
      </c>
      <c r="L4" s="8">
        <v>376.94</v>
      </c>
      <c r="M4">
        <f t="shared" si="0"/>
        <v>10.060000000000002</v>
      </c>
    </row>
    <row r="5" spans="1:13" ht="12" thickBot="1">
      <c r="A5" s="1" t="s">
        <v>12</v>
      </c>
      <c r="B5" s="2">
        <v>0.82</v>
      </c>
      <c r="C5" s="2">
        <v>0.95</v>
      </c>
      <c r="D5" s="2">
        <v>0.98</v>
      </c>
      <c r="E5" s="2">
        <v>0.93</v>
      </c>
      <c r="F5" s="2">
        <v>0.8</v>
      </c>
      <c r="G5" s="2">
        <v>0.98</v>
      </c>
      <c r="K5" s="8">
        <v>3</v>
      </c>
      <c r="L5" s="8">
        <v>381.98</v>
      </c>
      <c r="M5">
        <f t="shared" si="0"/>
        <v>15.100000000000023</v>
      </c>
    </row>
    <row r="6" spans="1:13" ht="12" thickBot="1">
      <c r="A6" s="1" t="s">
        <v>13</v>
      </c>
      <c r="B6" s="2">
        <v>0.79</v>
      </c>
      <c r="C6" s="2">
        <v>0.95</v>
      </c>
      <c r="D6" s="2">
        <v>0.99</v>
      </c>
      <c r="E6" s="2">
        <v>0.92</v>
      </c>
      <c r="F6" s="2">
        <v>0.76</v>
      </c>
      <c r="G6" s="2">
        <v>0.99</v>
      </c>
      <c r="K6" s="8">
        <v>4</v>
      </c>
      <c r="L6" s="8">
        <v>386.99</v>
      </c>
      <c r="M6">
        <f t="shared" si="0"/>
        <v>20.110000000000014</v>
      </c>
    </row>
    <row r="7" spans="1:13" ht="12" thickBot="1">
      <c r="A7" s="1" t="s">
        <v>14</v>
      </c>
      <c r="B7" s="2">
        <v>0.75</v>
      </c>
      <c r="C7" s="2">
        <v>0.92</v>
      </c>
      <c r="D7" s="2">
        <v>0.97</v>
      </c>
      <c r="E7" s="2">
        <v>0.9</v>
      </c>
      <c r="F7" s="2">
        <v>0.72</v>
      </c>
      <c r="G7" s="2">
        <v>0.97</v>
      </c>
      <c r="K7" s="8">
        <v>5</v>
      </c>
      <c r="L7" s="8">
        <v>392.04</v>
      </c>
      <c r="M7">
        <f t="shared" si="0"/>
        <v>25.160000000000025</v>
      </c>
    </row>
    <row r="8" spans="1:13" ht="12" thickBot="1">
      <c r="A8" s="1" t="s">
        <v>15</v>
      </c>
      <c r="B8" s="2">
        <v>0.71</v>
      </c>
      <c r="C8" s="2">
        <v>0.88</v>
      </c>
      <c r="D8" s="2">
        <v>0.94</v>
      </c>
      <c r="E8" s="2">
        <v>0.85</v>
      </c>
      <c r="F8" s="2">
        <v>0.67</v>
      </c>
      <c r="G8" s="2">
        <v>0.94</v>
      </c>
      <c r="K8" s="8">
        <v>6</v>
      </c>
      <c r="L8" s="8">
        <v>397.08</v>
      </c>
      <c r="M8">
        <f t="shared" si="0"/>
        <v>30.19999999999999</v>
      </c>
    </row>
    <row r="9" spans="1:13" ht="12" thickBot="1">
      <c r="A9" s="1" t="s">
        <v>16</v>
      </c>
      <c r="B9" s="2">
        <v>0.66</v>
      </c>
      <c r="C9" s="2">
        <v>0.82</v>
      </c>
      <c r="D9" s="2">
        <v>0.88</v>
      </c>
      <c r="E9" s="2">
        <v>0.8</v>
      </c>
      <c r="F9" s="2">
        <v>0.62</v>
      </c>
      <c r="G9" s="2">
        <v>0.88</v>
      </c>
      <c r="K9" s="8">
        <v>7</v>
      </c>
      <c r="L9" s="8">
        <v>402.1</v>
      </c>
      <c r="M9">
        <f t="shared" si="0"/>
        <v>35.22000000000003</v>
      </c>
    </row>
    <row r="10" spans="1:13" ht="12" thickBot="1">
      <c r="A10" s="1" t="s">
        <v>17</v>
      </c>
      <c r="B10" s="2">
        <v>0.6</v>
      </c>
      <c r="C10" s="2">
        <v>0.75</v>
      </c>
      <c r="D10" s="2">
        <v>0.8</v>
      </c>
      <c r="E10" s="2">
        <v>0.72</v>
      </c>
      <c r="F10" s="2">
        <v>0.57</v>
      </c>
      <c r="G10" s="2">
        <v>0.8</v>
      </c>
      <c r="K10" s="8">
        <v>8</v>
      </c>
      <c r="L10" s="8">
        <v>407.14</v>
      </c>
      <c r="M10">
        <f t="shared" si="0"/>
        <v>40.25999999999999</v>
      </c>
    </row>
    <row r="11" spans="11:13" ht="12" thickBot="1">
      <c r="K11" s="8">
        <v>9</v>
      </c>
      <c r="L11" s="8">
        <v>412.17</v>
      </c>
      <c r="M11">
        <f t="shared" si="0"/>
        <v>45.29000000000002</v>
      </c>
    </row>
    <row r="12" spans="1:13" ht="12" thickBot="1">
      <c r="A12" s="3"/>
      <c r="B12" s="3" t="s">
        <v>30</v>
      </c>
      <c r="K12" s="8">
        <v>10</v>
      </c>
      <c r="L12" s="8">
        <v>417.22</v>
      </c>
      <c r="M12">
        <f t="shared" si="0"/>
        <v>50.34000000000003</v>
      </c>
    </row>
    <row r="13" spans="1:13" ht="12" thickBot="1">
      <c r="A13" s="3" t="s">
        <v>18</v>
      </c>
      <c r="B13" s="4">
        <v>0.929</v>
      </c>
      <c r="K13" s="8">
        <v>11</v>
      </c>
      <c r="L13" s="8">
        <v>422.25</v>
      </c>
      <c r="M13">
        <f t="shared" si="0"/>
        <v>55.370000000000005</v>
      </c>
    </row>
    <row r="14" spans="1:13" ht="12" thickBot="1">
      <c r="A14" s="3" t="s">
        <v>19</v>
      </c>
      <c r="B14" s="4">
        <v>0.972</v>
      </c>
      <c r="K14" s="8">
        <v>12</v>
      </c>
      <c r="L14" s="8">
        <v>427.27</v>
      </c>
      <c r="M14">
        <f t="shared" si="0"/>
        <v>60.389999999999986</v>
      </c>
    </row>
    <row r="15" spans="1:13" ht="12" thickBot="1">
      <c r="A15" s="3" t="s">
        <v>20</v>
      </c>
      <c r="B15" s="4">
        <v>0.929</v>
      </c>
      <c r="K15" s="8">
        <v>13</v>
      </c>
      <c r="L15" s="8">
        <v>432.32</v>
      </c>
      <c r="M15">
        <f t="shared" si="0"/>
        <v>65.44</v>
      </c>
    </row>
    <row r="16" spans="1:13" ht="12" thickBot="1">
      <c r="A16" s="3" t="s">
        <v>21</v>
      </c>
      <c r="B16" s="4">
        <v>0.916</v>
      </c>
      <c r="K16" s="8">
        <v>14</v>
      </c>
      <c r="L16" s="8">
        <v>437.34</v>
      </c>
      <c r="M16">
        <f t="shared" si="0"/>
        <v>70.45999999999998</v>
      </c>
    </row>
    <row r="17" spans="1:13" ht="12" thickBot="1">
      <c r="A17" s="3" t="s">
        <v>24</v>
      </c>
      <c r="B17" s="4">
        <v>0.944</v>
      </c>
      <c r="K17" s="8">
        <v>15</v>
      </c>
      <c r="L17" s="8">
        <v>442.38</v>
      </c>
      <c r="M17">
        <f t="shared" si="0"/>
        <v>75.5</v>
      </c>
    </row>
    <row r="18" spans="1:13" ht="12" thickBot="1">
      <c r="A18" s="3" t="s">
        <v>22</v>
      </c>
      <c r="B18" s="4">
        <v>0.916</v>
      </c>
      <c r="K18" s="8">
        <v>16</v>
      </c>
      <c r="L18" s="8">
        <v>447.42</v>
      </c>
      <c r="M18">
        <f t="shared" si="0"/>
        <v>80.54000000000002</v>
      </c>
    </row>
    <row r="19" spans="1:13" ht="12" thickBot="1">
      <c r="A19" s="3" t="s">
        <v>23</v>
      </c>
      <c r="B19" s="4">
        <v>0.944</v>
      </c>
      <c r="K19" s="8">
        <v>17</v>
      </c>
      <c r="L19" s="8">
        <v>452.45</v>
      </c>
      <c r="M19">
        <f t="shared" si="0"/>
        <v>85.57</v>
      </c>
    </row>
    <row r="20" spans="1:13" ht="12" thickBot="1">
      <c r="A20" s="3" t="s">
        <v>25</v>
      </c>
      <c r="B20" s="4">
        <v>1</v>
      </c>
      <c r="K20" s="8">
        <v>18</v>
      </c>
      <c r="L20" s="8">
        <v>457.48</v>
      </c>
      <c r="M20">
        <f t="shared" si="0"/>
        <v>90.60000000000002</v>
      </c>
    </row>
    <row r="21" spans="1:13" ht="12" thickBot="1">
      <c r="A21" s="3" t="s">
        <v>26</v>
      </c>
      <c r="B21" s="4">
        <v>0.972</v>
      </c>
      <c r="K21" s="8">
        <v>19</v>
      </c>
      <c r="L21" s="8">
        <v>462.53</v>
      </c>
      <c r="M21">
        <f t="shared" si="0"/>
        <v>95.64999999999998</v>
      </c>
    </row>
    <row r="22" spans="1:13" ht="12" thickBot="1">
      <c r="A22" s="3" t="s">
        <v>27</v>
      </c>
      <c r="B22" s="4">
        <v>0.985</v>
      </c>
      <c r="K22" s="8">
        <v>20</v>
      </c>
      <c r="L22" s="8">
        <v>467.55</v>
      </c>
      <c r="M22">
        <f t="shared" si="0"/>
        <v>100.67000000000002</v>
      </c>
    </row>
    <row r="23" spans="1:13" ht="12" thickBot="1">
      <c r="A23" s="3" t="s">
        <v>28</v>
      </c>
      <c r="B23" s="4">
        <v>0.944</v>
      </c>
      <c r="K23" s="8">
        <v>21</v>
      </c>
      <c r="L23" s="8">
        <v>472.58</v>
      </c>
      <c r="M23">
        <f t="shared" si="0"/>
        <v>105.69999999999999</v>
      </c>
    </row>
    <row r="24" spans="1:13" ht="12" thickBot="1">
      <c r="A24" s="3" t="s">
        <v>29</v>
      </c>
      <c r="B24" s="4">
        <v>0.929</v>
      </c>
      <c r="K24" s="8">
        <v>22</v>
      </c>
      <c r="L24" s="8">
        <v>477.62</v>
      </c>
      <c r="M24">
        <f t="shared" si="0"/>
        <v>110.74000000000001</v>
      </c>
    </row>
    <row r="25" spans="11:13" ht="12" thickBot="1">
      <c r="K25" s="8">
        <v>23</v>
      </c>
      <c r="L25" s="8">
        <v>482.66</v>
      </c>
      <c r="M25">
        <f t="shared" si="0"/>
        <v>115.78000000000003</v>
      </c>
    </row>
    <row r="26" spans="1:13" ht="12" thickBot="1">
      <c r="A26" s="5"/>
      <c r="B26" s="6"/>
      <c r="K26" s="8">
        <v>24</v>
      </c>
      <c r="L26" s="8">
        <v>487.69</v>
      </c>
      <c r="M26">
        <f t="shared" si="0"/>
        <v>120.81</v>
      </c>
    </row>
    <row r="27" spans="1:13" ht="12" thickBot="1">
      <c r="A27" s="5"/>
      <c r="B27" s="6"/>
      <c r="K27" s="8">
        <v>25</v>
      </c>
      <c r="L27" s="8">
        <v>492.71</v>
      </c>
      <c r="M27">
        <f t="shared" si="0"/>
        <v>125.82999999999998</v>
      </c>
    </row>
    <row r="28" spans="11:13" ht="12" thickBot="1">
      <c r="K28" s="8">
        <v>26</v>
      </c>
      <c r="L28" s="8">
        <v>497.77</v>
      </c>
      <c r="M28">
        <f t="shared" si="0"/>
        <v>130.89</v>
      </c>
    </row>
    <row r="29" spans="1:13" ht="12" thickBot="1">
      <c r="A29" s="10" t="s">
        <v>43</v>
      </c>
      <c r="B29" s="10" t="e">
        <f>IF(Rekenmodel!#REF!="65 of ouder",IF(Rekenmodel!#REF!&gt;1,((Rekenmodel!#REF!*Rekenmodel!#REF!)*Rekengegevens!B38)+(Rekenmodel!#REF!*Rekengegevens!C38),((Rekenmodel!#REF!*Rekenmodel!#REF!)*Rekengegevens!B37)+(Rekenmodel!#REF!*Rekengegevens!C37)),IF(Rekenmodel!#REF!&gt;1,((Rekenmodel!#REF!*Rekenmodel!#REF!)*Rekengegevens!B36)+(Rekenmodel!#REF!*Rekengegevens!C36),((Rekenmodel!#REF!*Rekenmodel!#REF!)*Rekengegevens!B35)+(Rekenmodel!#REF!*Rekengegevens!C35)))</f>
        <v>#REF!</v>
      </c>
      <c r="K29" s="8">
        <v>27</v>
      </c>
      <c r="L29" s="8">
        <v>502.8</v>
      </c>
      <c r="M29">
        <f t="shared" si="0"/>
        <v>135.92000000000002</v>
      </c>
    </row>
    <row r="30" spans="1:13" ht="12" thickBot="1">
      <c r="A30" s="10" t="s">
        <v>58</v>
      </c>
      <c r="B30" s="10" t="e">
        <f>MAX($B$29+27.44,F30)</f>
        <v>#REF!</v>
      </c>
      <c r="D30" s="35" t="s">
        <v>62</v>
      </c>
      <c r="E30" s="35"/>
      <c r="F30" s="10">
        <v>222.18</v>
      </c>
      <c r="K30" s="8">
        <v>28</v>
      </c>
      <c r="L30" s="8">
        <v>507.81</v>
      </c>
      <c r="M30">
        <f t="shared" si="0"/>
        <v>140.93</v>
      </c>
    </row>
    <row r="31" spans="1:13" ht="12" thickBot="1">
      <c r="A31" s="10" t="s">
        <v>59</v>
      </c>
      <c r="B31" s="10" t="e">
        <f>MAX($B$29+27.44,F31)</f>
        <v>#REF!</v>
      </c>
      <c r="D31" s="35" t="s">
        <v>63</v>
      </c>
      <c r="E31" s="35"/>
      <c r="F31" s="10">
        <v>222.18</v>
      </c>
      <c r="K31" s="8">
        <v>29</v>
      </c>
      <c r="L31" s="8">
        <v>512.86</v>
      </c>
      <c r="M31">
        <f t="shared" si="0"/>
        <v>145.98000000000002</v>
      </c>
    </row>
    <row r="32" spans="1:13" ht="12" thickBot="1">
      <c r="A32" s="10" t="s">
        <v>60</v>
      </c>
      <c r="B32" s="10" t="e">
        <f>MAX($B$29+27.44,F32)</f>
        <v>#REF!</v>
      </c>
      <c r="D32" s="35" t="s">
        <v>64</v>
      </c>
      <c r="E32" s="35"/>
      <c r="F32" s="10">
        <v>220.36</v>
      </c>
      <c r="K32" s="8">
        <v>30</v>
      </c>
      <c r="L32" s="8">
        <v>517.89</v>
      </c>
      <c r="M32">
        <f t="shared" si="0"/>
        <v>151.01</v>
      </c>
    </row>
    <row r="33" spans="1:13" ht="12" thickBot="1">
      <c r="A33" s="10" t="s">
        <v>61</v>
      </c>
      <c r="B33" s="10" t="e">
        <f>MAX($B$29+27.44,F33)</f>
        <v>#REF!</v>
      </c>
      <c r="D33" s="35" t="s">
        <v>65</v>
      </c>
      <c r="E33" s="35"/>
      <c r="F33" s="10">
        <v>218.55</v>
      </c>
      <c r="K33" s="8">
        <v>31</v>
      </c>
      <c r="L33" s="8">
        <v>522.93</v>
      </c>
      <c r="M33">
        <f t="shared" si="0"/>
        <v>156.04999999999995</v>
      </c>
    </row>
    <row r="34" spans="1:13" ht="12" thickBot="1">
      <c r="A34" s="12" t="s">
        <v>36</v>
      </c>
      <c r="B34" s="12" t="s">
        <v>37</v>
      </c>
      <c r="C34" s="12" t="s">
        <v>38</v>
      </c>
      <c r="K34" s="8">
        <v>32</v>
      </c>
      <c r="L34" s="8">
        <v>527.97</v>
      </c>
      <c r="M34">
        <f t="shared" si="0"/>
        <v>161.09000000000003</v>
      </c>
    </row>
    <row r="35" spans="1:13" ht="12" thickBot="1">
      <c r="A35" s="12" t="s">
        <v>39</v>
      </c>
      <c r="B35" s="12">
        <v>7.48531E-07</v>
      </c>
      <c r="C35" s="12">
        <v>0.001957364475</v>
      </c>
      <c r="K35" s="8">
        <v>33</v>
      </c>
      <c r="L35" s="8">
        <v>532.99</v>
      </c>
      <c r="M35">
        <f t="shared" si="0"/>
        <v>166.11</v>
      </c>
    </row>
    <row r="36" spans="1:13" ht="12" thickBot="1">
      <c r="A36" s="12" t="s">
        <v>40</v>
      </c>
      <c r="B36" s="12">
        <v>4.18659E-07</v>
      </c>
      <c r="C36" s="12">
        <v>0.002104457742</v>
      </c>
      <c r="K36" s="8">
        <v>34</v>
      </c>
      <c r="L36" s="8">
        <v>538.04</v>
      </c>
      <c r="M36">
        <f t="shared" si="0"/>
        <v>171.15999999999997</v>
      </c>
    </row>
    <row r="37" spans="1:13" ht="12" thickBot="1">
      <c r="A37" s="12" t="s">
        <v>41</v>
      </c>
      <c r="B37" s="12">
        <v>1.114393E-06</v>
      </c>
      <c r="C37" s="12">
        <v>-0.006236885032</v>
      </c>
      <c r="K37" s="8">
        <v>35</v>
      </c>
      <c r="L37" s="8">
        <v>543.07</v>
      </c>
      <c r="M37">
        <f t="shared" si="0"/>
        <v>176.19000000000005</v>
      </c>
    </row>
    <row r="38" spans="1:13" ht="12" thickBot="1">
      <c r="A38" s="12" t="s">
        <v>42</v>
      </c>
      <c r="B38" s="12">
        <v>6.45458E-07</v>
      </c>
      <c r="C38" s="12">
        <v>-0.005278279964</v>
      </c>
      <c r="K38" s="8">
        <v>36</v>
      </c>
      <c r="L38" s="8">
        <v>548.1</v>
      </c>
      <c r="M38">
        <f t="shared" si="0"/>
        <v>181.22000000000003</v>
      </c>
    </row>
    <row r="39" spans="11:13" ht="12" thickBot="1">
      <c r="K39" s="8">
        <v>37</v>
      </c>
      <c r="L39" s="8">
        <v>553.13</v>
      </c>
      <c r="M39">
        <f t="shared" si="0"/>
        <v>186.25</v>
      </c>
    </row>
    <row r="40" spans="1:13" ht="12" thickBot="1">
      <c r="A40" s="11" t="s">
        <v>44</v>
      </c>
      <c r="B40" s="11">
        <v>374.44</v>
      </c>
      <c r="K40" s="8">
        <v>38</v>
      </c>
      <c r="L40" s="8">
        <v>558.16</v>
      </c>
      <c r="M40">
        <f t="shared" si="0"/>
        <v>191.27999999999997</v>
      </c>
    </row>
    <row r="41" spans="1:13" ht="12" thickBot="1">
      <c r="A41" s="11" t="s">
        <v>45</v>
      </c>
      <c r="B41" s="11">
        <v>535.91</v>
      </c>
      <c r="K41" s="8">
        <v>39</v>
      </c>
      <c r="L41" s="8">
        <v>563.2</v>
      </c>
      <c r="M41">
        <f t="shared" si="0"/>
        <v>196.32000000000005</v>
      </c>
    </row>
    <row r="42" spans="1:13" ht="12" thickBot="1">
      <c r="A42" s="11" t="s">
        <v>46</v>
      </c>
      <c r="B42" s="11">
        <v>574.35</v>
      </c>
      <c r="K42" s="8">
        <v>40</v>
      </c>
      <c r="L42" s="8">
        <v>568.24</v>
      </c>
      <c r="M42">
        <f t="shared" si="0"/>
        <v>201.36</v>
      </c>
    </row>
    <row r="43" spans="1:13" ht="12" thickBot="1">
      <c r="A43" s="11" t="s">
        <v>47</v>
      </c>
      <c r="B43" s="11">
        <v>681.02</v>
      </c>
      <c r="K43" s="8">
        <v>41</v>
      </c>
      <c r="L43" s="8">
        <v>573.27</v>
      </c>
      <c r="M43">
        <f t="shared" si="0"/>
        <v>206.39</v>
      </c>
    </row>
    <row r="44" spans="1:13" ht="12" thickBot="1">
      <c r="A44" s="13" t="s">
        <v>51</v>
      </c>
      <c r="B44" s="13" t="e">
        <f>Rekenmodel!#REF!+Rekenmodel!#REF!</f>
        <v>#REF!</v>
      </c>
      <c r="D44" s="36" t="s">
        <v>74</v>
      </c>
      <c r="E44" s="36"/>
      <c r="F44" s="18" t="s">
        <v>89</v>
      </c>
      <c r="G44" s="18" t="s">
        <v>90</v>
      </c>
      <c r="H44" t="s">
        <v>92</v>
      </c>
      <c r="K44" s="8">
        <v>42</v>
      </c>
      <c r="L44" s="8">
        <v>578.32</v>
      </c>
      <c r="M44">
        <f t="shared" si="0"/>
        <v>211.44000000000005</v>
      </c>
    </row>
    <row r="45" spans="1:13" ht="12" thickBot="1">
      <c r="A45" s="15" t="s">
        <v>48</v>
      </c>
      <c r="B45" s="15" t="e">
        <f>IF(B44&lt;B40,MAX(MIN(B40-B30,B44-B30),0),0)</f>
        <v>#REF!</v>
      </c>
      <c r="D45" s="34" t="s">
        <v>75</v>
      </c>
      <c r="E45" s="34"/>
      <c r="F45" s="19" t="e">
        <f>B45</f>
        <v>#REF!</v>
      </c>
      <c r="G45" t="e">
        <f>B65</f>
        <v>#REF!</v>
      </c>
      <c r="H45" s="20" t="e">
        <f>G45-F45</f>
        <v>#REF!</v>
      </c>
      <c r="K45" s="8">
        <v>43</v>
      </c>
      <c r="L45" s="8">
        <v>583.34</v>
      </c>
      <c r="M45">
        <f t="shared" si="0"/>
        <v>216.46000000000004</v>
      </c>
    </row>
    <row r="46" spans="1:13" ht="12" thickBot="1">
      <c r="A46" s="15" t="s">
        <v>66</v>
      </c>
      <c r="B46" s="15" t="e">
        <f>IF(B44&lt;B43,MAX(MIN(B44-B30,B40-B30),0),0)</f>
        <v>#REF!</v>
      </c>
      <c r="D46" s="34" t="s">
        <v>80</v>
      </c>
      <c r="E46" s="34"/>
      <c r="F46" s="19" t="e">
        <f>B46+B49+B54</f>
        <v>#REF!</v>
      </c>
      <c r="G46" s="20" t="e">
        <f>B66+B69+B74</f>
        <v>#REF!</v>
      </c>
      <c r="H46" s="20" t="e">
        <f aca="true" t="shared" si="1" ref="H46:H58">G46-F46</f>
        <v>#REF!</v>
      </c>
      <c r="K46" s="17">
        <v>44</v>
      </c>
      <c r="L46" s="8">
        <v>588.39</v>
      </c>
      <c r="M46">
        <f t="shared" si="0"/>
        <v>221.51</v>
      </c>
    </row>
    <row r="47" spans="1:9" ht="12" thickBot="1">
      <c r="A47" s="15" t="s">
        <v>67</v>
      </c>
      <c r="B47" s="15" t="e">
        <f>IF(B43&gt;B44,MAX(MIN(B44-B32,B40-B32),0),0)</f>
        <v>#REF!</v>
      </c>
      <c r="D47" s="34" t="s">
        <v>79</v>
      </c>
      <c r="E47" s="34"/>
      <c r="F47" s="19" t="e">
        <f>B46+B49+B54</f>
        <v>#REF!</v>
      </c>
      <c r="G47" s="20" t="e">
        <f>B66+B69+B74</f>
        <v>#REF!</v>
      </c>
      <c r="H47" s="20" t="e">
        <f t="shared" si="1"/>
        <v>#REF!</v>
      </c>
      <c r="I47" s="8"/>
    </row>
    <row r="48" spans="1:9" ht="12" thickBot="1">
      <c r="A48" s="15" t="s">
        <v>68</v>
      </c>
      <c r="B48" s="15" t="e">
        <f>IF(B43&gt;B44,MAX(MIN(B44-B33,B40-B33),0),0)</f>
        <v>#REF!</v>
      </c>
      <c r="D48" s="34" t="s">
        <v>78</v>
      </c>
      <c r="E48" s="34"/>
      <c r="F48" s="19" t="e">
        <f>B46+B50+B55</f>
        <v>#REF!</v>
      </c>
      <c r="G48" s="20" t="e">
        <f>B66+B70+B75</f>
        <v>#REF!</v>
      </c>
      <c r="H48" s="20" t="e">
        <f t="shared" si="1"/>
        <v>#REF!</v>
      </c>
      <c r="I48" s="8"/>
    </row>
    <row r="49" spans="1:8" ht="11.25">
      <c r="A49" s="15" t="s">
        <v>70</v>
      </c>
      <c r="B49" s="15" t="e">
        <f>IF(B43&gt;B44,MAX(0.65*MIN(B41-MAX(B40,B30),B44-MAX(B40,B30)),0),0)</f>
        <v>#REF!</v>
      </c>
      <c r="D49" s="34" t="s">
        <v>81</v>
      </c>
      <c r="E49" s="34"/>
      <c r="F49" s="19" t="e">
        <f>B46+B49</f>
        <v>#REF!</v>
      </c>
      <c r="G49" s="20" t="e">
        <f>B66+B69</f>
        <v>#REF!</v>
      </c>
      <c r="H49" s="20" t="e">
        <f t="shared" si="1"/>
        <v>#REF!</v>
      </c>
    </row>
    <row r="50" spans="1:9" ht="12" thickBot="1">
      <c r="A50" s="15" t="s">
        <v>71</v>
      </c>
      <c r="B50" s="15" t="e">
        <f>IF(B43&gt;B44,MAX(0.65*MIN(B42-MAX(B40,B31),B44-MAX(B40,B31)),0),0)</f>
        <v>#REF!</v>
      </c>
      <c r="D50" s="34" t="s">
        <v>82</v>
      </c>
      <c r="E50" s="34"/>
      <c r="F50" s="19" t="e">
        <f>B46+B50</f>
        <v>#REF!</v>
      </c>
      <c r="G50" s="20" t="e">
        <f>B66+B70</f>
        <v>#REF!</v>
      </c>
      <c r="H50" s="20" t="e">
        <f t="shared" si="1"/>
        <v>#REF!</v>
      </c>
      <c r="I50" s="8"/>
    </row>
    <row r="51" spans="1:9" ht="12" thickBot="1">
      <c r="A51" s="15" t="s">
        <v>69</v>
      </c>
      <c r="B51" s="15" t="e">
        <f>IF(B43&gt;B44,MAX(0.65*MIN(B41-MAX(B40,B32),B44-MAX(B40,B32)),0),0)</f>
        <v>#REF!</v>
      </c>
      <c r="D51" s="34" t="s">
        <v>76</v>
      </c>
      <c r="E51" s="34"/>
      <c r="F51" s="19" t="e">
        <f>B46+B49+B54</f>
        <v>#REF!</v>
      </c>
      <c r="G51" s="20" t="e">
        <f>B66+B69+B74</f>
        <v>#REF!</v>
      </c>
      <c r="H51" s="20" t="e">
        <f t="shared" si="1"/>
        <v>#REF!</v>
      </c>
      <c r="I51" s="8"/>
    </row>
    <row r="52" spans="1:9" ht="12" thickBot="1">
      <c r="A52" s="15" t="s">
        <v>72</v>
      </c>
      <c r="B52" s="15" t="e">
        <f>IF(B43&gt;B44,MAX(0.65*MIN(B41-MAX(B40,B33),B44-MAX(B40,B33)),0),0)</f>
        <v>#REF!</v>
      </c>
      <c r="D52" s="34" t="s">
        <v>77</v>
      </c>
      <c r="E52" s="34"/>
      <c r="F52" s="19" t="e">
        <f>B46+B49</f>
        <v>#REF!</v>
      </c>
      <c r="G52" s="20" t="e">
        <f>B66+B69</f>
        <v>#REF!</v>
      </c>
      <c r="H52" s="20" t="e">
        <f t="shared" si="1"/>
        <v>#REF!</v>
      </c>
      <c r="I52" s="8"/>
    </row>
    <row r="53" spans="1:8" ht="11.25">
      <c r="A53" s="15" t="s">
        <v>73</v>
      </c>
      <c r="B53" s="15" t="e">
        <f>IF(B43&gt;B44,MAX(0.65*MIN(B42-MAX(B40,B33),B44-MAX(B40,B33)),0),0)</f>
        <v>#REF!</v>
      </c>
      <c r="D53" s="18" t="s">
        <v>83</v>
      </c>
      <c r="E53" s="18"/>
      <c r="F53" s="19" t="e">
        <f>B46+B50</f>
        <v>#REF!</v>
      </c>
      <c r="G53" s="20" t="e">
        <f>B66+B70</f>
        <v>#REF!</v>
      </c>
      <c r="H53" s="20" t="e">
        <f t="shared" si="1"/>
        <v>#REF!</v>
      </c>
    </row>
    <row r="54" spans="1:8" ht="11.25">
      <c r="A54" s="15" t="s">
        <v>49</v>
      </c>
      <c r="B54" s="15" t="e">
        <f>IF(B43&gt;B44,MAX(0.4*MIN(B43-MAX(B41,B30),B44-MAX(B41,B30)),0),0)</f>
        <v>#REF!</v>
      </c>
      <c r="D54" s="34" t="s">
        <v>84</v>
      </c>
      <c r="E54" s="34"/>
      <c r="F54" s="19" t="e">
        <f>B46+B49+B54</f>
        <v>#REF!</v>
      </c>
      <c r="G54" s="20" t="e">
        <f>B66+B69+B74</f>
        <v>#REF!</v>
      </c>
      <c r="H54" s="20" t="e">
        <f t="shared" si="1"/>
        <v>#REF!</v>
      </c>
    </row>
    <row r="55" spans="1:8" ht="11.25">
      <c r="A55" s="15" t="s">
        <v>50</v>
      </c>
      <c r="B55" s="15" t="e">
        <f>IF(B43&gt;B44,MAX(0.4*MIN(B43-MAX(B42,B30),B44-MAX(B42,B30)),0),0)</f>
        <v>#REF!</v>
      </c>
      <c r="D55" s="34" t="s">
        <v>85</v>
      </c>
      <c r="E55" s="34"/>
      <c r="F55" s="19" t="e">
        <f>B46+B50+B55</f>
        <v>#REF!</v>
      </c>
      <c r="G55" s="20" t="e">
        <f>B66+B70+B75</f>
        <v>#REF!</v>
      </c>
      <c r="H55" s="20" t="e">
        <f t="shared" si="1"/>
        <v>#REF!</v>
      </c>
    </row>
    <row r="56" spans="4:8" ht="11.25">
      <c r="D56" s="34" t="s">
        <v>86</v>
      </c>
      <c r="E56" s="34"/>
      <c r="F56" s="19" t="e">
        <f>B47+B51+B54</f>
        <v>#REF!</v>
      </c>
      <c r="G56" s="20" t="e">
        <f>B67+B71+B74</f>
        <v>#REF!</v>
      </c>
      <c r="H56" s="20" t="e">
        <f t="shared" si="1"/>
        <v>#REF!</v>
      </c>
    </row>
    <row r="57" spans="1:8" ht="11.25">
      <c r="A57" s="16" t="s">
        <v>53</v>
      </c>
      <c r="B57" s="14"/>
      <c r="D57" s="34" t="s">
        <v>87</v>
      </c>
      <c r="E57" s="34"/>
      <c r="F57" s="19" t="e">
        <f>B48+B52+B54</f>
        <v>#REF!</v>
      </c>
      <c r="G57" s="20" t="e">
        <f>B68+B72+B74</f>
        <v>#REF!</v>
      </c>
      <c r="H57" s="20" t="e">
        <f t="shared" si="1"/>
        <v>#REF!</v>
      </c>
    </row>
    <row r="58" spans="1:8" ht="11.25">
      <c r="A58" s="14" t="s">
        <v>54</v>
      </c>
      <c r="B58" s="14">
        <v>21025</v>
      </c>
      <c r="D58" s="34" t="s">
        <v>88</v>
      </c>
      <c r="E58" s="34"/>
      <c r="F58" s="19" t="e">
        <f>B48+B53+B55</f>
        <v>#REF!</v>
      </c>
      <c r="G58" s="20" t="e">
        <f>B68+B73+B75</f>
        <v>#REF!</v>
      </c>
      <c r="H58" s="20" t="e">
        <f t="shared" si="1"/>
        <v>#REF!</v>
      </c>
    </row>
    <row r="59" spans="1:2" ht="11.25">
      <c r="A59" s="14" t="s">
        <v>55</v>
      </c>
      <c r="B59" s="14">
        <v>28550</v>
      </c>
    </row>
    <row r="60" spans="1:2" ht="11.25">
      <c r="A60" s="14" t="s">
        <v>56</v>
      </c>
      <c r="B60" s="14">
        <v>21100</v>
      </c>
    </row>
    <row r="61" spans="1:2" ht="11.25">
      <c r="A61" s="14" t="s">
        <v>57</v>
      </c>
      <c r="B61" s="14">
        <v>28725</v>
      </c>
    </row>
    <row r="63" ht="11.25">
      <c r="A63" s="14" t="s">
        <v>91</v>
      </c>
    </row>
    <row r="64" spans="1:2" ht="11.25">
      <c r="A64" s="13" t="s">
        <v>52</v>
      </c>
      <c r="B64" s="13" t="e">
        <f>Rekenmodel!#REF!+Rekenmodel!#REF!+Rekenmodel!C13</f>
        <v>#REF!</v>
      </c>
    </row>
    <row r="65" spans="1:2" ht="11.25">
      <c r="A65" s="15" t="s">
        <v>48</v>
      </c>
      <c r="B65" s="15" t="e">
        <f>IF(B64&lt;B40+Rekenmodel!C13,MAX(MIN(B40-B30,B44-B30),0),0)</f>
        <v>#REF!</v>
      </c>
    </row>
    <row r="66" spans="1:2" ht="11.25">
      <c r="A66" s="15" t="s">
        <v>66</v>
      </c>
      <c r="B66" s="15" t="e">
        <f>IF(B64&lt;B43+Rekenmodel!C13,MAX(MIN(B64-B30,B40-B30),0),0)</f>
        <v>#REF!</v>
      </c>
    </row>
    <row r="67" spans="1:2" ht="11.25">
      <c r="A67" s="15" t="s">
        <v>67</v>
      </c>
      <c r="B67" s="15" t="e">
        <f>IF(B43+Rekenmodel!C13&gt;B64,MAX(MIN(B64-B32,B40-B32),0),0)</f>
        <v>#REF!</v>
      </c>
    </row>
    <row r="68" spans="1:2" ht="11.25">
      <c r="A68" s="15" t="s">
        <v>68</v>
      </c>
      <c r="B68" s="15" t="e">
        <f>IF((B43+Rekenmodel!C13)&gt;B64,MAX(MIN(B64-B33,B40-B33),0),0)</f>
        <v>#REF!</v>
      </c>
    </row>
    <row r="69" spans="1:2" ht="11.25">
      <c r="A69" s="15" t="s">
        <v>70</v>
      </c>
      <c r="B69" s="15" t="e">
        <f>IF((B43+Rekenmodel!C13)&gt;B64,MAX(0.65*MIN(B41-MAX(B40,B30),B64-MAX(B40,B30)),0),0)</f>
        <v>#REF!</v>
      </c>
    </row>
    <row r="70" spans="1:2" ht="11.25">
      <c r="A70" s="15" t="s">
        <v>71</v>
      </c>
      <c r="B70" s="15" t="e">
        <f>IF((B43+Rekenmodel!C13)&gt;B64,MAX(0.65*MIN(B42-MAX(B40,B31),B64-MAX(B40,B31)),0),0)</f>
        <v>#REF!</v>
      </c>
    </row>
    <row r="71" spans="1:2" ht="11.25">
      <c r="A71" s="15" t="s">
        <v>69</v>
      </c>
      <c r="B71" s="15" t="e">
        <f>IF((B43+Rekenmodel!C13)&gt;B64,MAX(0.65*MIN(B41-MAX(B40,B32),B64-MAX(B40,B32)),0),0)</f>
        <v>#REF!</v>
      </c>
    </row>
    <row r="72" spans="1:2" ht="11.25">
      <c r="A72" s="15" t="s">
        <v>72</v>
      </c>
      <c r="B72" s="15" t="e">
        <f>IF((B43+Rekenmodel!C13)&gt;B64,MAX(0.65*MIN(B41-MAX(B40,B33),B64-MAX(B40,B33)),0),0)</f>
        <v>#REF!</v>
      </c>
    </row>
    <row r="73" spans="1:2" ht="11.25">
      <c r="A73" s="15" t="s">
        <v>73</v>
      </c>
      <c r="B73" s="15" t="e">
        <f>IF((B43+Rekenmodel!C13)&gt;B64,MAX(0.65*MIN(B42-MAX(B40,B33),B64-MAX(B40,B33)),0),0)</f>
        <v>#REF!</v>
      </c>
    </row>
    <row r="74" spans="1:2" ht="11.25">
      <c r="A74" s="15" t="s">
        <v>49</v>
      </c>
      <c r="B74" s="15" t="e">
        <f>IF((B43+Rekenmodel!C13)&gt;B64,MAX(0.4*MIN(B43-MAX(B41,B30),B64-MAX(B41,B30)),0),0)</f>
        <v>#REF!</v>
      </c>
    </row>
    <row r="75" spans="1:2" ht="11.25">
      <c r="A75" s="15" t="s">
        <v>50</v>
      </c>
      <c r="B75" s="15" t="e">
        <f>IF((B43+Rekenmodel!C13)&gt;B64,MAX(0.4*MIN(B43-MAX(B42,B30),B64-MAX(B42,B30)),0),0)</f>
        <v>#REF!</v>
      </c>
    </row>
    <row r="77" spans="1:2" ht="11.25">
      <c r="A77" s="16" t="s">
        <v>53</v>
      </c>
      <c r="B77" s="14"/>
    </row>
    <row r="78" spans="1:2" ht="11.25">
      <c r="A78" s="14" t="s">
        <v>54</v>
      </c>
      <c r="B78" s="14">
        <v>21025</v>
      </c>
    </row>
    <row r="79" spans="1:2" ht="11.25">
      <c r="A79" s="14" t="s">
        <v>55</v>
      </c>
      <c r="B79" s="14">
        <v>28550</v>
      </c>
    </row>
    <row r="80" spans="1:2" ht="11.25">
      <c r="A80" s="14" t="s">
        <v>56</v>
      </c>
      <c r="B80" s="14">
        <v>21100</v>
      </c>
    </row>
    <row r="81" spans="1:2" ht="11.25">
      <c r="A81" s="14" t="s">
        <v>57</v>
      </c>
      <c r="B81" s="14">
        <v>28725</v>
      </c>
    </row>
  </sheetData>
  <sheetProtection password="9FB3" sheet="1" objects="1" scenarios="1" selectLockedCells="1" selectUnlockedCells="1"/>
  <mergeCells count="18">
    <mergeCell ref="D48:E48"/>
    <mergeCell ref="D49:E49"/>
    <mergeCell ref="D30:E30"/>
    <mergeCell ref="D31:E31"/>
    <mergeCell ref="D32:E32"/>
    <mergeCell ref="D33:E33"/>
    <mergeCell ref="D44:E44"/>
    <mergeCell ref="D45:E45"/>
    <mergeCell ref="D54:E54"/>
    <mergeCell ref="D55:E55"/>
    <mergeCell ref="D56:E56"/>
    <mergeCell ref="D57:E57"/>
    <mergeCell ref="D58:E58"/>
    <mergeCell ref="D46:E46"/>
    <mergeCell ref="D47:E47"/>
    <mergeCell ref="D51:E51"/>
    <mergeCell ref="D52:E52"/>
    <mergeCell ref="D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00390625" defaultRowHeight="11.25"/>
  <sheetData>
    <row r="1" ht="11.25">
      <c r="A1">
        <f>6*240</f>
        <v>1440</v>
      </c>
    </row>
    <row r="2" ht="11.25">
      <c r="A2">
        <v>1096</v>
      </c>
    </row>
    <row r="3" ht="11.25">
      <c r="A3">
        <f>A2/A1</f>
        <v>0.7611111111111111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Marissa van Groenestijn</dc:creator>
  <cp:keywords/>
  <dc:description/>
  <cp:lastModifiedBy>Maarten Corpeleijn</cp:lastModifiedBy>
  <dcterms:created xsi:type="dcterms:W3CDTF">2013-02-20T13:25:52Z</dcterms:created>
  <dcterms:modified xsi:type="dcterms:W3CDTF">2014-10-06T08:00:06Z</dcterms:modified>
  <cp:category/>
  <cp:version/>
  <cp:contentType/>
  <cp:contentStatus/>
</cp:coreProperties>
</file>