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0_intern\00_zonnighuren publieke info\prive vragen voor eigen dak\"/>
    </mc:Choice>
  </mc:AlternateContent>
  <bookViews>
    <workbookView xWindow="480" yWindow="72" windowWidth="9816" windowHeight="7416"/>
  </bookViews>
  <sheets>
    <sheet name="pakket A financiering" sheetId="1" r:id="rId1"/>
  </sheets>
  <calcPr calcId="152511"/>
</workbook>
</file>

<file path=xl/calcChain.xml><?xml version="1.0" encoding="utf-8"?>
<calcChain xmlns="http://schemas.openxmlformats.org/spreadsheetml/2006/main">
  <c r="C5" i="1" l="1"/>
  <c r="C13" i="1" l="1"/>
  <c r="M37" i="1"/>
  <c r="C11" i="1"/>
  <c r="C12" i="1"/>
  <c r="C4" i="1"/>
  <c r="C8" i="1" l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C35" i="1"/>
  <c r="D35" i="1"/>
  <c r="A36" i="1"/>
  <c r="A37" i="1" s="1"/>
  <c r="D36" i="1" l="1"/>
  <c r="A38" i="1"/>
  <c r="D37" i="1"/>
  <c r="C36" i="1"/>
  <c r="C37" i="1" s="1"/>
  <c r="C38" i="1" s="1"/>
  <c r="E35" i="1"/>
  <c r="F35" i="1" s="1"/>
  <c r="G35" i="1" s="1"/>
  <c r="E36" i="1" l="1"/>
  <c r="E37" i="1"/>
  <c r="D38" i="1"/>
  <c r="E38" i="1" s="1"/>
  <c r="A39" i="1"/>
  <c r="F36" i="1"/>
  <c r="G36" i="1" s="1"/>
  <c r="J36" i="1" s="1"/>
  <c r="C39" i="1"/>
  <c r="F37" i="1" l="1"/>
  <c r="G37" i="1" s="1"/>
  <c r="J37" i="1" s="1"/>
  <c r="D39" i="1"/>
  <c r="E39" i="1" s="1"/>
  <c r="A40" i="1"/>
  <c r="C40" i="1"/>
  <c r="F38" i="1" l="1"/>
  <c r="G38" i="1" s="1"/>
  <c r="J38" i="1" s="1"/>
  <c r="D40" i="1"/>
  <c r="E40" i="1" s="1"/>
  <c r="A41" i="1"/>
  <c r="C41" i="1"/>
  <c r="F39" i="1"/>
  <c r="D41" i="1" l="1"/>
  <c r="E41" i="1" s="1"/>
  <c r="A42" i="1"/>
  <c r="G39" i="1"/>
  <c r="J39" i="1" s="1"/>
  <c r="F40" i="1"/>
  <c r="C42" i="1"/>
  <c r="F41" i="1" l="1"/>
  <c r="G41" i="1" s="1"/>
  <c r="J41" i="1" s="1"/>
  <c r="D42" i="1"/>
  <c r="E42" i="1" s="1"/>
  <c r="A43" i="1"/>
  <c r="C43" i="1"/>
  <c r="G40" i="1"/>
  <c r="J40" i="1" s="1"/>
  <c r="F42" i="1" l="1"/>
  <c r="G42" i="1" s="1"/>
  <c r="J42" i="1" s="1"/>
  <c r="D43" i="1"/>
  <c r="E43" i="1" s="1"/>
  <c r="A44" i="1"/>
  <c r="C44" i="1"/>
  <c r="F43" i="1" l="1"/>
  <c r="G43" i="1" s="1"/>
  <c r="J43" i="1" s="1"/>
  <c r="D44" i="1"/>
  <c r="E44" i="1" s="1"/>
  <c r="F44" i="1" s="1"/>
  <c r="G44" i="1" s="1"/>
  <c r="J44" i="1" s="1"/>
  <c r="A45" i="1"/>
  <c r="C45" i="1"/>
  <c r="D45" i="1" l="1"/>
  <c r="A46" i="1"/>
  <c r="C46" i="1"/>
  <c r="E45" i="1"/>
  <c r="F45" i="1" s="1"/>
  <c r="G45" i="1" s="1"/>
  <c r="J45" i="1" s="1"/>
  <c r="A47" i="1" l="1"/>
  <c r="D46" i="1"/>
  <c r="E46" i="1" s="1"/>
  <c r="F46" i="1" s="1"/>
  <c r="G46" i="1" s="1"/>
  <c r="J46" i="1" s="1"/>
  <c r="C47" i="1"/>
  <c r="D47" i="1" l="1"/>
  <c r="A48" i="1"/>
  <c r="C48" i="1"/>
  <c r="E47" i="1"/>
  <c r="F47" i="1" s="1"/>
  <c r="G47" i="1" s="1"/>
  <c r="J47" i="1" s="1"/>
  <c r="D48" i="1" l="1"/>
  <c r="E48" i="1" s="1"/>
  <c r="F48" i="1" s="1"/>
  <c r="G48" i="1" s="1"/>
  <c r="J48" i="1" s="1"/>
  <c r="A49" i="1"/>
  <c r="C49" i="1"/>
  <c r="D49" i="1" l="1"/>
  <c r="E49" i="1" s="1"/>
  <c r="F49" i="1" s="1"/>
  <c r="G49" i="1" s="1"/>
  <c r="J49" i="1" s="1"/>
  <c r="A50" i="1"/>
  <c r="C50" i="1"/>
  <c r="D50" i="1" l="1"/>
  <c r="A51" i="1"/>
  <c r="C51" i="1"/>
  <c r="E50" i="1"/>
  <c r="F50" i="1" s="1"/>
  <c r="G50" i="1" s="1"/>
  <c r="J50" i="1" s="1"/>
  <c r="D51" i="1" l="1"/>
  <c r="A52" i="1"/>
  <c r="C52" i="1"/>
  <c r="E51" i="1"/>
  <c r="F51" i="1" s="1"/>
  <c r="G51" i="1" s="1"/>
  <c r="J51" i="1" s="1"/>
  <c r="D52" i="1" l="1"/>
  <c r="A53" i="1"/>
  <c r="C53" i="1"/>
  <c r="E52" i="1"/>
  <c r="F52" i="1" s="1"/>
  <c r="G52" i="1" s="1"/>
  <c r="J52" i="1" s="1"/>
  <c r="D53" i="1" l="1"/>
  <c r="E53" i="1" s="1"/>
  <c r="F53" i="1" s="1"/>
  <c r="G53" i="1" s="1"/>
  <c r="J53" i="1" s="1"/>
  <c r="A54" i="1"/>
  <c r="C54" i="1"/>
  <c r="D54" i="1" l="1"/>
  <c r="A55" i="1"/>
  <c r="C55" i="1"/>
  <c r="E54" i="1"/>
  <c r="F54" i="1" s="1"/>
  <c r="G54" i="1" s="1"/>
  <c r="J54" i="1" s="1"/>
  <c r="D55" i="1" l="1"/>
  <c r="A56" i="1"/>
  <c r="C56" i="1"/>
  <c r="E55" i="1"/>
  <c r="F55" i="1" s="1"/>
  <c r="D56" i="1" l="1"/>
  <c r="A57" i="1"/>
  <c r="D57" i="1" s="1"/>
  <c r="G55" i="1"/>
  <c r="J55" i="1" s="1"/>
  <c r="C57" i="1"/>
  <c r="E56" i="1"/>
  <c r="F56" i="1" s="1"/>
  <c r="E57" i="1" l="1"/>
  <c r="F57" i="1" s="1"/>
  <c r="G56" i="1"/>
  <c r="J56" i="1" s="1"/>
  <c r="F58" i="1" l="1"/>
  <c r="G57" i="1"/>
  <c r="J57" i="1" s="1"/>
  <c r="C17" i="1" s="1"/>
</calcChain>
</file>

<file path=xl/sharedStrings.xml><?xml version="1.0" encoding="utf-8"?>
<sst xmlns="http://schemas.openxmlformats.org/spreadsheetml/2006/main" count="68" uniqueCount="58">
  <si>
    <t>investering</t>
  </si>
  <si>
    <t>energieprijsstijging</t>
  </si>
  <si>
    <t>rente op de bank</t>
  </si>
  <si>
    <t xml:space="preserve">jaar </t>
  </si>
  <si>
    <t>investering en gemiste rente</t>
  </si>
  <si>
    <t>jaarl. besp kwh</t>
  </si>
  <si>
    <t>jaarl. Energieprijs</t>
  </si>
  <si>
    <t>jaarl. Besp</t>
  </si>
  <si>
    <t>totaal besparing</t>
  </si>
  <si>
    <t>tarief jaar 1 incl belasting</t>
  </si>
  <si>
    <t>terugverdiend?</t>
  </si>
  <si>
    <t>De investering en hoeveel dat op de bank op zou leveren (kolom b)</t>
  </si>
  <si>
    <t>De energieprijs, dus wat je per kwh bespaart</t>
  </si>
  <si>
    <t>De jaarlijkse besparing in euros (kolom c maal kolom d = kolom e)</t>
  </si>
  <si>
    <t>Wat je totaal bespaart cumulatief over de jaren heen (en daar krijg je rente over)</t>
  </si>
  <si>
    <t>Of je je inverstering al hebt terugverdiend t.o.v. als je hem op de bank had gezet (kolom g)</t>
  </si>
  <si>
    <t>euro/kwh</t>
  </si>
  <si>
    <t>per jaar</t>
  </si>
  <si>
    <t>VUL DE GELE CELLEN IN</t>
  </si>
  <si>
    <t>JE HEBT HET TERUGVERDIEND NA</t>
  </si>
  <si>
    <t>JAAR</t>
  </si>
  <si>
    <t>WAT BEREKENT HET MODEL HIERONDER</t>
  </si>
  <si>
    <t>pakket zonnepanelen</t>
  </si>
  <si>
    <t>aantal panelen</t>
  </si>
  <si>
    <t>subsidie gemeente/provincie</t>
  </si>
  <si>
    <t>euro</t>
  </si>
  <si>
    <t>monitoring als je dit wilt</t>
  </si>
  <si>
    <t>zonuren</t>
  </si>
  <si>
    <t>opbrengst</t>
  </si>
  <si>
    <t>dakhelling en orientatiefactor</t>
  </si>
  <si>
    <t>percentage</t>
  </si>
  <si>
    <t xml:space="preserve">De jaarlijkse besparing (loopt een beetje terug, panelen worden elk jaar iets slechter (kolom c) . </t>
  </si>
  <si>
    <t>WAT HIER NIET IN ZIT: omvormer valt uit buiten garantie (kost +- 400 euro), problemen als het niet werkt</t>
  </si>
  <si>
    <t>totaal investering</t>
  </si>
  <si>
    <t>als je niet investeert, maar je geld op de bank zet</t>
  </si>
  <si>
    <t>check bij gemeente en provincie</t>
  </si>
  <si>
    <t>vermogen per paneel</t>
  </si>
  <si>
    <t>vermogen totaal</t>
  </si>
  <si>
    <t>mijn richtbedrag</t>
  </si>
  <si>
    <t>opbrengst per wattpiek bij 100 % orientatie</t>
  </si>
  <si>
    <t>zie plaatje rechts: bij zuid-oost (40 graden) en dakhelling 60 graden vul je hier 91 % in</t>
  </si>
  <si>
    <t>kwh/kwp</t>
  </si>
  <si>
    <t>€/kWh</t>
  </si>
  <si>
    <t>Piektarief</t>
  </si>
  <si>
    <t>kwh per jaar</t>
  </si>
  <si>
    <t>Daltarief</t>
  </si>
  <si>
    <t>Gemiddeld</t>
  </si>
  <si>
    <t>Energiebelasting op elektriciteit (0 t/m 10.000 kwh)</t>
  </si>
  <si>
    <t>tarieven 2016, lager dan 2015</t>
  </si>
  <si>
    <t>Opslag duurzame energie op elektriciteit</t>
  </si>
  <si>
    <t>tarieven 2016, iets hoger dan 2016</t>
  </si>
  <si>
    <t>BTW</t>
  </si>
  <si>
    <t>totaal incl btw</t>
  </si>
  <si>
    <t>zie rechtsonder</t>
  </si>
  <si>
    <t>AANNAMES</t>
  </si>
  <si>
    <t>Je energiegebruik is hoger dan je verbruik</t>
  </si>
  <si>
    <t>De salderingsregeling blijft geheel bestaan</t>
  </si>
  <si>
    <t>Je panelen gaan technisch wel 30 jaar mee, maar misschien wil je na 10/15/20/25/30 jaar wel supercoole nieuwe panelen die dan zijn uitgevonden.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</si>
</sst>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 [$€-413]\ * #,##0_ ;_ [$€-413]\ * \-#,##0_ ;_ [$€-413]\ * &quot;-&quot;??_ ;_ @_ "/>
    <numFmt numFmtId="165" formatCode="_ * #,##0_ ;_ * \-#,##0_ ;_ * &quot;-&quot;??_ ;_ @_ "/>
    <numFmt numFmtId="166" formatCode="_ [$€-413]\ * #,##0.00_ ;_ [$€-413]\ * \-#,##0.00_ ;_ [$€-413]\ * &quot;-&quot;??_ ;_ @_ "/>
    <numFmt numFmtId="167" formatCode="_ * #,##0.0_ ;_ * \-#,##0.0_ ;_ * &quot;-&quot;??_ ;_ @_ "/>
    <numFmt numFmtId="168" formatCode="0.000"/>
    <numFmt numFmtId="170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0" fillId="2" borderId="0" xfId="0" applyFill="1"/>
    <xf numFmtId="165" fontId="0" fillId="0" borderId="0" xfId="1" applyNumberFormat="1" applyFont="1"/>
    <xf numFmtId="166" fontId="0" fillId="0" borderId="0" xfId="0" applyNumberFormat="1"/>
    <xf numFmtId="1" fontId="0" fillId="0" borderId="0" xfId="0" applyNumberFormat="1"/>
    <xf numFmtId="164" fontId="2" fillId="0" borderId="0" xfId="0" applyNumberFormat="1" applyFont="1"/>
    <xf numFmtId="9" fontId="0" fillId="2" borderId="0" xfId="0" applyNumberFormat="1" applyFill="1"/>
    <xf numFmtId="10" fontId="0" fillId="2" borderId="0" xfId="0" applyNumberFormat="1" applyFill="1"/>
    <xf numFmtId="10" fontId="0" fillId="0" borderId="0" xfId="0" applyNumberFormat="1" applyFill="1"/>
    <xf numFmtId="1" fontId="0" fillId="3" borderId="0" xfId="0" applyNumberFormat="1" applyFill="1"/>
    <xf numFmtId="0" fontId="3" fillId="3" borderId="1" xfId="0" applyFont="1" applyFill="1" applyBorder="1"/>
    <xf numFmtId="0" fontId="3" fillId="3" borderId="3" xfId="0" applyFont="1" applyFill="1" applyBorder="1"/>
    <xf numFmtId="1" fontId="0" fillId="2" borderId="0" xfId="0" applyNumberFormat="1" applyFill="1"/>
    <xf numFmtId="167" fontId="3" fillId="3" borderId="2" xfId="1" applyNumberFormat="1" applyFont="1" applyFill="1" applyBorder="1"/>
    <xf numFmtId="0" fontId="0" fillId="3" borderId="0" xfId="0" applyFill="1"/>
    <xf numFmtId="168" fontId="0" fillId="2" borderId="0" xfId="0" applyNumberFormat="1" applyFill="1"/>
    <xf numFmtId="168" fontId="0" fillId="0" borderId="0" xfId="0" applyNumberFormat="1"/>
    <xf numFmtId="170" fontId="0" fillId="0" borderId="0" xfId="0" applyNumberForma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17</xdr:col>
      <xdr:colOff>571500</xdr:colOff>
      <xdr:row>18</xdr:row>
      <xdr:rowOff>71846</xdr:rowOff>
    </xdr:to>
    <xdr:pic>
      <xdr:nvPicPr>
        <xdr:cNvPr id="3" name="Afbeelding 2" descr="http://www.zonwatt.nl/wp-content/uploads/2013/10/orientatie-hoek-opbrengst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4457" y="555171"/>
          <a:ext cx="5524500" cy="2499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zoomScale="70" zoomScaleNormal="70" workbookViewId="0">
      <selection activeCell="A19" sqref="A19:XFD19"/>
    </sheetView>
  </sheetViews>
  <sheetFormatPr defaultRowHeight="14.4" x14ac:dyDescent="0.3"/>
  <cols>
    <col min="2" max="2" width="42.5546875" customWidth="1"/>
    <col min="3" max="3" width="15.44140625" customWidth="1"/>
    <col min="4" max="4" width="17.44140625" customWidth="1"/>
    <col min="5" max="5" width="11.109375" customWidth="1"/>
    <col min="6" max="6" width="15.109375" customWidth="1"/>
    <col min="12" max="12" width="19.109375" customWidth="1"/>
    <col min="13" max="13" width="17.5546875" customWidth="1"/>
    <col min="19" max="19" width="18.88671875" customWidth="1"/>
    <col min="20" max="20" width="16.5546875" customWidth="1"/>
    <col min="21" max="21" width="9.33203125" bestFit="1" customWidth="1"/>
    <col min="22" max="23" width="9.33203125" customWidth="1"/>
    <col min="24" max="24" width="9.33203125" bestFit="1" customWidth="1"/>
    <col min="25" max="25" width="9.5546875" bestFit="1" customWidth="1"/>
  </cols>
  <sheetData>
    <row r="1" spans="2:13" x14ac:dyDescent="0.3">
      <c r="B1" t="s">
        <v>22</v>
      </c>
      <c r="C1" s="3" t="s">
        <v>18</v>
      </c>
      <c r="D1" s="3"/>
    </row>
    <row r="2" spans="2:13" x14ac:dyDescent="0.3">
      <c r="B2" t="s">
        <v>23</v>
      </c>
      <c r="C2" s="3">
        <v>10</v>
      </c>
      <c r="D2" s="3"/>
      <c r="J2" s="3"/>
    </row>
    <row r="3" spans="2:13" x14ac:dyDescent="0.3">
      <c r="B3" t="s">
        <v>36</v>
      </c>
      <c r="C3" s="3">
        <v>270</v>
      </c>
      <c r="D3" s="3"/>
      <c r="J3" s="3"/>
    </row>
    <row r="4" spans="2:13" x14ac:dyDescent="0.3">
      <c r="B4" t="s">
        <v>37</v>
      </c>
      <c r="C4" s="3">
        <f>C2*C3</f>
        <v>2700</v>
      </c>
      <c r="D4" s="3"/>
      <c r="J4" s="3"/>
    </row>
    <row r="5" spans="2:13" x14ac:dyDescent="0.3">
      <c r="B5" t="s">
        <v>0</v>
      </c>
      <c r="C5" s="14">
        <f>C4*1.9</f>
        <v>5130</v>
      </c>
      <c r="D5" s="3" t="s">
        <v>25</v>
      </c>
      <c r="E5" t="s">
        <v>38</v>
      </c>
      <c r="J5" s="3"/>
    </row>
    <row r="6" spans="2:13" x14ac:dyDescent="0.3">
      <c r="B6" t="s">
        <v>26</v>
      </c>
      <c r="C6" s="3">
        <v>100</v>
      </c>
      <c r="D6" s="3" t="s">
        <v>25</v>
      </c>
      <c r="E6" t="s">
        <v>38</v>
      </c>
      <c r="J6" s="3"/>
    </row>
    <row r="7" spans="2:13" x14ac:dyDescent="0.3">
      <c r="B7" t="s">
        <v>24</v>
      </c>
      <c r="C7" s="3">
        <v>0</v>
      </c>
      <c r="D7" t="s">
        <v>25</v>
      </c>
      <c r="E7" t="s">
        <v>35</v>
      </c>
    </row>
    <row r="8" spans="2:13" x14ac:dyDescent="0.3">
      <c r="B8" t="s">
        <v>33</v>
      </c>
      <c r="C8" s="11">
        <f>SUM(C5:C7)</f>
        <v>5230</v>
      </c>
    </row>
    <row r="9" spans="2:13" x14ac:dyDescent="0.3">
      <c r="B9" t="s">
        <v>39</v>
      </c>
      <c r="C9" s="3">
        <v>950</v>
      </c>
      <c r="D9" t="s">
        <v>27</v>
      </c>
    </row>
    <row r="10" spans="2:13" x14ac:dyDescent="0.3">
      <c r="B10" t="s">
        <v>29</v>
      </c>
      <c r="C10" s="8">
        <v>0.91</v>
      </c>
      <c r="D10" t="s">
        <v>30</v>
      </c>
      <c r="E10" t="s">
        <v>40</v>
      </c>
    </row>
    <row r="11" spans="2:13" x14ac:dyDescent="0.3">
      <c r="B11" t="s">
        <v>28</v>
      </c>
      <c r="C11" s="11">
        <f>C12*C4/1000</f>
        <v>2334.15</v>
      </c>
      <c r="D11" t="s">
        <v>41</v>
      </c>
    </row>
    <row r="12" spans="2:13" x14ac:dyDescent="0.3">
      <c r="B12" t="s">
        <v>28</v>
      </c>
      <c r="C12" s="16">
        <f>C10*C9</f>
        <v>864.5</v>
      </c>
    </row>
    <row r="13" spans="2:13" x14ac:dyDescent="0.3">
      <c r="B13" t="s">
        <v>9</v>
      </c>
      <c r="C13" s="17">
        <f>M37</f>
        <v>0.20600000000000002</v>
      </c>
      <c r="D13" s="3" t="s">
        <v>16</v>
      </c>
      <c r="E13" t="s">
        <v>53</v>
      </c>
    </row>
    <row r="14" spans="2:13" x14ac:dyDescent="0.3">
      <c r="B14" t="s">
        <v>1</v>
      </c>
      <c r="C14" s="8">
        <v>0.02</v>
      </c>
      <c r="D14" t="s">
        <v>17</v>
      </c>
      <c r="M14" s="6"/>
    </row>
    <row r="15" spans="2:13" x14ac:dyDescent="0.3">
      <c r="B15" t="s">
        <v>2</v>
      </c>
      <c r="C15" s="9">
        <v>0.02</v>
      </c>
      <c r="D15" t="s">
        <v>34</v>
      </c>
      <c r="M15" s="6"/>
    </row>
    <row r="16" spans="2:13" ht="15" thickBot="1" x14ac:dyDescent="0.35">
      <c r="C16" s="9"/>
      <c r="M16" s="6"/>
    </row>
    <row r="17" spans="2:16" ht="15" thickBot="1" x14ac:dyDescent="0.35">
      <c r="B17" s="12" t="s">
        <v>19</v>
      </c>
      <c r="C17" s="15">
        <f>MIN(J35:J57)</f>
        <v>12</v>
      </c>
      <c r="D17" s="13" t="s">
        <v>20</v>
      </c>
      <c r="M17" s="6"/>
    </row>
    <row r="18" spans="2:16" x14ac:dyDescent="0.3">
      <c r="B18" t="s">
        <v>57</v>
      </c>
      <c r="C18" s="10"/>
      <c r="M18" s="6"/>
    </row>
    <row r="19" spans="2:16" x14ac:dyDescent="0.3">
      <c r="C19" s="10"/>
      <c r="M19" s="6"/>
    </row>
    <row r="20" spans="2:16" x14ac:dyDescent="0.3">
      <c r="B20" t="s">
        <v>54</v>
      </c>
      <c r="C20" s="10"/>
      <c r="M20" s="6"/>
    </row>
    <row r="21" spans="2:16" x14ac:dyDescent="0.3">
      <c r="B21" t="s">
        <v>55</v>
      </c>
      <c r="C21" s="10"/>
      <c r="M21" s="6"/>
    </row>
    <row r="22" spans="2:16" x14ac:dyDescent="0.3">
      <c r="B22" t="s">
        <v>56</v>
      </c>
      <c r="C22" s="10"/>
      <c r="M22" s="6"/>
    </row>
    <row r="23" spans="2:16" x14ac:dyDescent="0.3">
      <c r="B23" t="s">
        <v>21</v>
      </c>
      <c r="C23" s="10"/>
      <c r="M23" s="6"/>
    </row>
    <row r="24" spans="2:16" x14ac:dyDescent="0.3">
      <c r="B24" t="s">
        <v>11</v>
      </c>
      <c r="C24" s="10"/>
      <c r="M24" s="6"/>
    </row>
    <row r="25" spans="2:16" x14ac:dyDescent="0.3">
      <c r="B25" t="s">
        <v>31</v>
      </c>
      <c r="C25" s="10"/>
      <c r="M25" s="6"/>
    </row>
    <row r="26" spans="2:16" x14ac:dyDescent="0.3">
      <c r="B26" t="s">
        <v>12</v>
      </c>
      <c r="C26" s="10"/>
      <c r="M26" s="6"/>
    </row>
    <row r="27" spans="2:16" x14ac:dyDescent="0.3">
      <c r="B27" t="s">
        <v>13</v>
      </c>
      <c r="C27" s="10"/>
      <c r="M27" s="6"/>
    </row>
    <row r="28" spans="2:16" x14ac:dyDescent="0.3">
      <c r="B28" t="s">
        <v>14</v>
      </c>
      <c r="C28" s="10"/>
      <c r="M28" s="6"/>
    </row>
    <row r="29" spans="2:16" x14ac:dyDescent="0.3">
      <c r="B29" t="s">
        <v>15</v>
      </c>
      <c r="C29" s="10"/>
      <c r="M29" s="6"/>
    </row>
    <row r="30" spans="2:16" x14ac:dyDescent="0.3">
      <c r="C30" s="10"/>
      <c r="M30" s="6"/>
    </row>
    <row r="31" spans="2:16" x14ac:dyDescent="0.3">
      <c r="B31" t="s">
        <v>32</v>
      </c>
      <c r="C31" s="10"/>
      <c r="L31" t="s">
        <v>43</v>
      </c>
      <c r="M31" s="17">
        <v>7.0000000000000007E-2</v>
      </c>
      <c r="N31" t="s">
        <v>42</v>
      </c>
      <c r="O31" s="3">
        <v>1500</v>
      </c>
      <c r="P31" t="s">
        <v>44</v>
      </c>
    </row>
    <row r="32" spans="2:16" x14ac:dyDescent="0.3">
      <c r="C32" s="1"/>
      <c r="L32" t="s">
        <v>45</v>
      </c>
      <c r="M32" s="17">
        <v>6.5000000000000002E-2</v>
      </c>
      <c r="N32" t="s">
        <v>42</v>
      </c>
      <c r="O32" s="3">
        <v>1500</v>
      </c>
      <c r="P32" t="s">
        <v>44</v>
      </c>
    </row>
    <row r="33" spans="1:25" x14ac:dyDescent="0.3">
      <c r="C33" s="1"/>
      <c r="L33" t="s">
        <v>46</v>
      </c>
      <c r="M33" s="18">
        <v>6.3E-2</v>
      </c>
      <c r="N33" t="s">
        <v>42</v>
      </c>
    </row>
    <row r="34" spans="1:25" x14ac:dyDescent="0.3">
      <c r="A34" t="s">
        <v>3</v>
      </c>
      <c r="B34" t="s">
        <v>4</v>
      </c>
      <c r="C34" t="s">
        <v>5</v>
      </c>
      <c r="D34" t="s">
        <v>6</v>
      </c>
      <c r="E34" t="s">
        <v>7</v>
      </c>
      <c r="F34" t="s">
        <v>8</v>
      </c>
      <c r="G34" t="s">
        <v>10</v>
      </c>
      <c r="L34" t="s">
        <v>47</v>
      </c>
      <c r="M34" s="19">
        <v>0.10100000000000001</v>
      </c>
      <c r="N34" t="s">
        <v>42</v>
      </c>
      <c r="O34" t="s">
        <v>48</v>
      </c>
    </row>
    <row r="35" spans="1:25" x14ac:dyDescent="0.3">
      <c r="A35">
        <v>1</v>
      </c>
      <c r="B35" s="2">
        <f>C8</f>
        <v>5230</v>
      </c>
      <c r="C35" s="4">
        <f>C11</f>
        <v>2334.15</v>
      </c>
      <c r="D35" s="5">
        <f>C13</f>
        <v>0.20600000000000002</v>
      </c>
      <c r="E35" s="2">
        <f t="shared" ref="E35:E57" si="0">C35*D35</f>
        <v>480.83490000000006</v>
      </c>
      <c r="F35" s="2">
        <f>E35</f>
        <v>480.83490000000006</v>
      </c>
      <c r="G35" t="str">
        <f t="shared" ref="G35:G57" si="1">IF(F35&gt;B35,"JA","")</f>
        <v/>
      </c>
      <c r="I35" s="2"/>
      <c r="L35" s="6" t="s">
        <v>49</v>
      </c>
      <c r="M35" s="19">
        <v>6.0000000000000001E-3</v>
      </c>
      <c r="N35" s="2" t="s">
        <v>42</v>
      </c>
      <c r="O35" s="2" t="s">
        <v>50</v>
      </c>
      <c r="P35" s="2"/>
      <c r="S35" s="6"/>
      <c r="T35" s="6"/>
      <c r="U35" s="6"/>
      <c r="V35" s="6"/>
      <c r="W35" s="6"/>
      <c r="X35" s="6"/>
      <c r="Y35" s="6"/>
    </row>
    <row r="36" spans="1:25" x14ac:dyDescent="0.3">
      <c r="A36">
        <f>A35+1</f>
        <v>2</v>
      </c>
      <c r="B36" s="2">
        <f t="shared" ref="B36:B57" si="2">B35*(1+$C$15)</f>
        <v>5334.6</v>
      </c>
      <c r="C36" s="4">
        <f>C35*0.992</f>
        <v>2315.4767999999999</v>
      </c>
      <c r="D36" s="5">
        <f>$D$35*(1+$C$14)^(A36-A$35)</f>
        <v>0.21012000000000003</v>
      </c>
      <c r="E36" s="2">
        <f t="shared" si="0"/>
        <v>486.52798521600005</v>
      </c>
      <c r="F36" s="2">
        <f>E36+F35*(1+$C$15)</f>
        <v>976.97958321600004</v>
      </c>
      <c r="G36" t="str">
        <f t="shared" si="1"/>
        <v/>
      </c>
      <c r="I36" s="2"/>
      <c r="J36" t="str">
        <f>IF(G36="JA",A36,"")</f>
        <v/>
      </c>
      <c r="L36" s="6" t="s">
        <v>51</v>
      </c>
      <c r="M36" s="19">
        <v>3.5999999999999997E-2</v>
      </c>
      <c r="N36" s="2" t="s">
        <v>42</v>
      </c>
      <c r="O36" s="2"/>
      <c r="P36" s="2"/>
      <c r="S36" s="6"/>
      <c r="T36" s="6"/>
      <c r="U36" s="6"/>
      <c r="V36" s="6"/>
      <c r="W36" s="6"/>
      <c r="X36" s="6"/>
      <c r="Y36" s="2"/>
    </row>
    <row r="37" spans="1:25" x14ac:dyDescent="0.3">
      <c r="A37">
        <f t="shared" ref="A37:A57" si="3">A36+1</f>
        <v>3</v>
      </c>
      <c r="B37" s="2">
        <f t="shared" si="2"/>
        <v>5441.2920000000004</v>
      </c>
      <c r="C37" s="4">
        <f t="shared" ref="C37:C57" si="4">C36*0.995</f>
        <v>2303.8994159999997</v>
      </c>
      <c r="D37" s="5">
        <f>$D$35*(1+$C$14)^(A37-A$35)</f>
        <v>0.21432240000000002</v>
      </c>
      <c r="E37" s="2">
        <f t="shared" si="0"/>
        <v>493.7772521957184</v>
      </c>
      <c r="F37" s="2">
        <f>E37+F36*(1+$C$15)</f>
        <v>1490.2964270760385</v>
      </c>
      <c r="G37" t="str">
        <f t="shared" si="1"/>
        <v/>
      </c>
      <c r="I37" s="2"/>
      <c r="J37" t="str">
        <f t="shared" ref="J37:J57" si="5">IF(G37="JA",A37,"")</f>
        <v/>
      </c>
      <c r="L37" s="6" t="s">
        <v>52</v>
      </c>
      <c r="M37" s="18">
        <f>SUM(M33:M36)</f>
        <v>0.20600000000000002</v>
      </c>
      <c r="N37" s="2"/>
      <c r="O37" s="2"/>
      <c r="P37" s="2"/>
      <c r="S37" s="6"/>
      <c r="T37" s="6"/>
      <c r="U37" s="6"/>
      <c r="V37" s="6"/>
      <c r="W37" s="6"/>
      <c r="X37" s="6"/>
      <c r="Y37" s="2"/>
    </row>
    <row r="38" spans="1:25" x14ac:dyDescent="0.3">
      <c r="A38">
        <f t="shared" si="3"/>
        <v>4</v>
      </c>
      <c r="B38" s="2">
        <f t="shared" si="2"/>
        <v>5550.1178400000008</v>
      </c>
      <c r="C38" s="4">
        <f t="shared" si="4"/>
        <v>2292.3799189199999</v>
      </c>
      <c r="D38" s="5">
        <f>$D$35*(1+$C$14)^(A38-A$35)</f>
        <v>0.21860884799999999</v>
      </c>
      <c r="E38" s="2">
        <f t="shared" si="0"/>
        <v>501.1345332534346</v>
      </c>
      <c r="F38" s="2">
        <f t="shared" ref="F38:F57" si="6">E38+F37*(1+$C$15)</f>
        <v>2021.2368888709939</v>
      </c>
      <c r="G38" t="str">
        <f t="shared" si="1"/>
        <v/>
      </c>
      <c r="I38" s="2"/>
      <c r="J38" t="str">
        <f t="shared" si="5"/>
        <v/>
      </c>
      <c r="L38" s="6"/>
      <c r="M38" s="6"/>
      <c r="N38" s="2"/>
      <c r="O38" s="2"/>
      <c r="P38" s="2"/>
      <c r="S38" s="6"/>
      <c r="T38" s="6"/>
      <c r="U38" s="6"/>
      <c r="V38" s="6"/>
      <c r="W38" s="6"/>
      <c r="X38" s="6"/>
      <c r="Y38" s="2"/>
    </row>
    <row r="39" spans="1:25" x14ac:dyDescent="0.3">
      <c r="A39">
        <f t="shared" si="3"/>
        <v>5</v>
      </c>
      <c r="B39" s="2">
        <f t="shared" si="2"/>
        <v>5661.1201968000005</v>
      </c>
      <c r="C39" s="4">
        <f t="shared" si="4"/>
        <v>2280.9180193254001</v>
      </c>
      <c r="D39" s="5">
        <f>$D$35*(1+$C$14)^(A39-A$35)</f>
        <v>0.22298102496000002</v>
      </c>
      <c r="E39" s="2">
        <f t="shared" si="0"/>
        <v>508.60143779891087</v>
      </c>
      <c r="F39" s="2">
        <f t="shared" si="6"/>
        <v>2570.2630644473247</v>
      </c>
      <c r="G39" t="str">
        <f t="shared" si="1"/>
        <v/>
      </c>
      <c r="H39" s="2"/>
      <c r="I39" s="2"/>
      <c r="J39" t="str">
        <f t="shared" si="5"/>
        <v/>
      </c>
      <c r="L39" s="6"/>
      <c r="M39" s="6"/>
      <c r="N39" s="2"/>
      <c r="O39" s="2"/>
      <c r="P39" s="2"/>
      <c r="S39" s="6"/>
      <c r="T39" s="6"/>
      <c r="U39" s="6"/>
      <c r="V39" s="6"/>
      <c r="W39" s="6"/>
      <c r="X39" s="6"/>
      <c r="Y39" s="2"/>
    </row>
    <row r="40" spans="1:25" x14ac:dyDescent="0.3">
      <c r="A40">
        <f t="shared" si="3"/>
        <v>6</v>
      </c>
      <c r="B40" s="2">
        <f t="shared" si="2"/>
        <v>5774.3426007360003</v>
      </c>
      <c r="C40" s="4">
        <f t="shared" si="4"/>
        <v>2269.513429228773</v>
      </c>
      <c r="D40" s="5">
        <f>$D$35*(1+$C$14)^(A40-A$35)</f>
        <v>0.22744064545920001</v>
      </c>
      <c r="E40" s="2">
        <f t="shared" si="0"/>
        <v>516.17959922211458</v>
      </c>
      <c r="F40" s="2">
        <f t="shared" si="6"/>
        <v>3137.8479249583856</v>
      </c>
      <c r="G40" t="str">
        <f t="shared" si="1"/>
        <v/>
      </c>
      <c r="I40" s="2"/>
      <c r="J40" t="str">
        <f t="shared" si="5"/>
        <v/>
      </c>
      <c r="L40" s="6"/>
      <c r="M40" s="6"/>
      <c r="N40" s="2"/>
      <c r="O40" s="2"/>
      <c r="P40" s="2"/>
      <c r="S40" s="6"/>
      <c r="T40" s="6"/>
      <c r="U40" s="6"/>
      <c r="V40" s="6"/>
      <c r="W40" s="6"/>
      <c r="X40" s="6"/>
      <c r="Y40" s="2"/>
    </row>
    <row r="41" spans="1:25" x14ac:dyDescent="0.3">
      <c r="A41">
        <f t="shared" si="3"/>
        <v>7</v>
      </c>
      <c r="B41" s="2">
        <f t="shared" si="2"/>
        <v>5889.8294527507205</v>
      </c>
      <c r="C41" s="4">
        <f t="shared" si="4"/>
        <v>2258.1658620826292</v>
      </c>
      <c r="D41" s="5">
        <f>$D$35*(1+$C$14)^(A41-A$35)</f>
        <v>0.23198945836838403</v>
      </c>
      <c r="E41" s="2">
        <f t="shared" si="0"/>
        <v>523.87067525052419</v>
      </c>
      <c r="F41" s="2">
        <f t="shared" si="6"/>
        <v>3724.4755587080776</v>
      </c>
      <c r="G41" t="str">
        <f t="shared" si="1"/>
        <v/>
      </c>
      <c r="I41" s="2"/>
      <c r="J41" t="str">
        <f t="shared" si="5"/>
        <v/>
      </c>
      <c r="L41" s="6"/>
      <c r="M41" s="6"/>
      <c r="N41" s="2"/>
      <c r="O41" s="2"/>
      <c r="P41" s="2"/>
      <c r="S41" s="6"/>
      <c r="T41" s="6"/>
      <c r="U41" s="6"/>
      <c r="V41" s="6"/>
      <c r="W41" s="6"/>
      <c r="X41" s="6"/>
      <c r="Y41" s="2"/>
    </row>
    <row r="42" spans="1:25" x14ac:dyDescent="0.3">
      <c r="A42">
        <f t="shared" si="3"/>
        <v>8</v>
      </c>
      <c r="B42" s="2">
        <f t="shared" si="2"/>
        <v>6007.6260418057354</v>
      </c>
      <c r="C42" s="4">
        <f t="shared" si="4"/>
        <v>2246.8750327722159</v>
      </c>
      <c r="D42" s="5">
        <f>$D$35*(1+$C$14)^(A42-A$35)</f>
        <v>0.23662924753575165</v>
      </c>
      <c r="E42" s="2">
        <f t="shared" si="0"/>
        <v>531.67634831175678</v>
      </c>
      <c r="F42" s="2">
        <f t="shared" si="6"/>
        <v>4330.6414181939963</v>
      </c>
      <c r="G42" t="str">
        <f t="shared" si="1"/>
        <v/>
      </c>
      <c r="I42" s="2"/>
      <c r="J42" t="str">
        <f t="shared" si="5"/>
        <v/>
      </c>
      <c r="L42" s="6"/>
      <c r="M42" s="6"/>
      <c r="N42" s="2"/>
      <c r="O42" s="2"/>
      <c r="P42" s="2"/>
      <c r="S42" s="6"/>
      <c r="T42" s="6"/>
      <c r="U42" s="6"/>
      <c r="V42" s="6"/>
      <c r="W42" s="6"/>
      <c r="X42" s="6"/>
      <c r="Y42" s="2"/>
    </row>
    <row r="43" spans="1:25" x14ac:dyDescent="0.3">
      <c r="A43">
        <f t="shared" si="3"/>
        <v>9</v>
      </c>
      <c r="B43" s="2">
        <f t="shared" si="2"/>
        <v>6127.7785626418499</v>
      </c>
      <c r="C43" s="4">
        <f t="shared" si="4"/>
        <v>2235.640657608355</v>
      </c>
      <c r="D43" s="5">
        <f>$D$35*(1+$C$14)^(A43-A$35)</f>
        <v>0.24136183248646673</v>
      </c>
      <c r="E43" s="2">
        <f t="shared" si="0"/>
        <v>539.59832590160215</v>
      </c>
      <c r="F43" s="2">
        <f t="shared" si="6"/>
        <v>4956.8525724594783</v>
      </c>
      <c r="G43" t="str">
        <f t="shared" si="1"/>
        <v/>
      </c>
      <c r="I43" s="2"/>
      <c r="J43" t="str">
        <f t="shared" si="5"/>
        <v/>
      </c>
      <c r="L43" s="6"/>
      <c r="M43" s="6"/>
      <c r="N43" s="2"/>
      <c r="O43" s="2"/>
      <c r="P43" s="2"/>
      <c r="S43" s="6"/>
      <c r="T43" s="6"/>
      <c r="U43" s="6"/>
      <c r="V43" s="6"/>
      <c r="W43" s="6"/>
      <c r="X43" s="6"/>
      <c r="Y43" s="2"/>
    </row>
    <row r="44" spans="1:25" x14ac:dyDescent="0.3">
      <c r="A44">
        <f t="shared" si="3"/>
        <v>10</v>
      </c>
      <c r="B44" s="2">
        <f t="shared" si="2"/>
        <v>6250.3341338946866</v>
      </c>
      <c r="C44" s="4">
        <f t="shared" si="4"/>
        <v>2224.4624543203131</v>
      </c>
      <c r="D44" s="5">
        <f>$D$35*(1+$C$14)^(A44-A$35)</f>
        <v>0.24618906913619606</v>
      </c>
      <c r="E44" s="2">
        <f t="shared" si="0"/>
        <v>547.63834095753589</v>
      </c>
      <c r="F44" s="2">
        <f t="shared" si="6"/>
        <v>5603.6279648662039</v>
      </c>
      <c r="G44" t="str">
        <f t="shared" si="1"/>
        <v/>
      </c>
      <c r="H44" s="2"/>
      <c r="I44" s="2"/>
      <c r="J44" t="str">
        <f t="shared" si="5"/>
        <v/>
      </c>
      <c r="L44" s="6"/>
      <c r="M44" s="6"/>
      <c r="N44" s="2"/>
      <c r="O44" s="2"/>
      <c r="P44" s="2"/>
      <c r="S44" s="6"/>
      <c r="T44" s="6"/>
      <c r="U44" s="6"/>
      <c r="V44" s="6"/>
      <c r="W44" s="6"/>
      <c r="X44" s="6"/>
      <c r="Y44" s="2"/>
    </row>
    <row r="45" spans="1:25" x14ac:dyDescent="0.3">
      <c r="A45">
        <f t="shared" si="3"/>
        <v>11</v>
      </c>
      <c r="B45" s="2">
        <f t="shared" si="2"/>
        <v>6375.3408165725805</v>
      </c>
      <c r="C45" s="4">
        <f t="shared" si="4"/>
        <v>2213.3401420487116</v>
      </c>
      <c r="D45" s="5">
        <f>$D$35*(1+$C$14)^(A45-A$35)</f>
        <v>0.25111285051891996</v>
      </c>
      <c r="E45" s="2">
        <f t="shared" si="0"/>
        <v>555.79815223780315</v>
      </c>
      <c r="F45" s="2">
        <f t="shared" si="6"/>
        <v>6271.4986764013311</v>
      </c>
      <c r="G45" t="str">
        <f t="shared" si="1"/>
        <v/>
      </c>
      <c r="I45" s="2"/>
      <c r="J45" t="str">
        <f t="shared" si="5"/>
        <v/>
      </c>
      <c r="L45" s="6"/>
      <c r="M45" s="6"/>
      <c r="N45" s="2"/>
      <c r="O45" s="2"/>
      <c r="P45" s="2"/>
      <c r="S45" s="6"/>
      <c r="T45" s="6"/>
      <c r="U45" s="6"/>
      <c r="V45" s="6"/>
      <c r="W45" s="6"/>
      <c r="X45" s="6"/>
      <c r="Y45" s="2"/>
    </row>
    <row r="46" spans="1:25" x14ac:dyDescent="0.3">
      <c r="A46">
        <f t="shared" si="3"/>
        <v>12</v>
      </c>
      <c r="B46" s="2">
        <f t="shared" si="2"/>
        <v>6502.8476329040323</v>
      </c>
      <c r="C46" s="4">
        <f t="shared" si="4"/>
        <v>2202.2734413384683</v>
      </c>
      <c r="D46" s="5">
        <f>$D$35*(1+$C$14)^(A46-A$35)</f>
        <v>0.25613510752929836</v>
      </c>
      <c r="E46" s="2">
        <f t="shared" si="0"/>
        <v>564.07954470614652</v>
      </c>
      <c r="F46" s="2">
        <f t="shared" si="6"/>
        <v>6961.008194635504</v>
      </c>
      <c r="G46" t="str">
        <f t="shared" si="1"/>
        <v>JA</v>
      </c>
      <c r="I46" s="2"/>
      <c r="J46">
        <f t="shared" si="5"/>
        <v>12</v>
      </c>
      <c r="L46" s="6"/>
      <c r="M46" s="6"/>
      <c r="N46" s="2"/>
      <c r="O46" s="2"/>
      <c r="P46" s="2"/>
      <c r="S46" s="6"/>
      <c r="T46" s="6"/>
      <c r="U46" s="6"/>
      <c r="V46" s="6"/>
      <c r="W46" s="6"/>
      <c r="X46" s="6"/>
      <c r="Y46" s="2"/>
    </row>
    <row r="47" spans="1:25" x14ac:dyDescent="0.3">
      <c r="A47">
        <f t="shared" si="3"/>
        <v>13</v>
      </c>
      <c r="B47" s="2">
        <f t="shared" si="2"/>
        <v>6632.9045855621134</v>
      </c>
      <c r="C47" s="4">
        <f t="shared" si="4"/>
        <v>2191.262074131776</v>
      </c>
      <c r="D47" s="5">
        <f>$D$35*(1+$C$14)^(A47-A$35)</f>
        <v>0.26125780967988432</v>
      </c>
      <c r="E47" s="2">
        <f t="shared" si="0"/>
        <v>572.4843299222681</v>
      </c>
      <c r="F47" s="2">
        <f t="shared" si="6"/>
        <v>7672.7126884504823</v>
      </c>
      <c r="G47" t="str">
        <f t="shared" si="1"/>
        <v>JA</v>
      </c>
      <c r="I47" s="2"/>
      <c r="J47">
        <f t="shared" si="5"/>
        <v>13</v>
      </c>
      <c r="L47" s="6"/>
      <c r="M47" s="6"/>
      <c r="N47" s="2"/>
      <c r="O47" s="2"/>
      <c r="P47" s="2"/>
      <c r="S47" s="6"/>
      <c r="T47" s="6"/>
      <c r="U47" s="6"/>
      <c r="V47" s="6"/>
      <c r="W47" s="6"/>
      <c r="X47" s="6"/>
      <c r="Y47" s="2"/>
    </row>
    <row r="48" spans="1:25" x14ac:dyDescent="0.3">
      <c r="A48">
        <f t="shared" si="3"/>
        <v>14</v>
      </c>
      <c r="B48" s="2">
        <f t="shared" si="2"/>
        <v>6765.5626772733558</v>
      </c>
      <c r="C48" s="4">
        <f t="shared" si="4"/>
        <v>2180.3057637611173</v>
      </c>
      <c r="D48" s="5">
        <f>$D$35*(1+$C$14)^(A48-A$35)</f>
        <v>0.26648296587348203</v>
      </c>
      <c r="E48" s="2">
        <f t="shared" si="0"/>
        <v>581.01434643811001</v>
      </c>
      <c r="F48" s="2">
        <f t="shared" si="6"/>
        <v>8407.1812886576026</v>
      </c>
      <c r="G48" t="str">
        <f t="shared" si="1"/>
        <v>JA</v>
      </c>
      <c r="I48" s="2"/>
      <c r="J48">
        <f t="shared" si="5"/>
        <v>14</v>
      </c>
      <c r="L48" s="6"/>
      <c r="M48" s="6"/>
      <c r="N48" s="2"/>
      <c r="O48" s="2"/>
      <c r="P48" s="2"/>
      <c r="S48" s="6"/>
      <c r="T48" s="6"/>
      <c r="U48" s="6"/>
      <c r="V48" s="6"/>
      <c r="W48" s="6"/>
      <c r="X48" s="6"/>
      <c r="Y48" s="2"/>
    </row>
    <row r="49" spans="1:25" x14ac:dyDescent="0.3">
      <c r="A49">
        <f t="shared" si="3"/>
        <v>15</v>
      </c>
      <c r="B49" s="2">
        <f t="shared" si="2"/>
        <v>6900.8739308188233</v>
      </c>
      <c r="C49" s="4">
        <f t="shared" si="4"/>
        <v>2169.4042349423116</v>
      </c>
      <c r="D49" s="5">
        <f>$D$35*(1+$C$14)^(A49-A$35)</f>
        <v>0.27181262519095167</v>
      </c>
      <c r="E49" s="2">
        <f t="shared" si="0"/>
        <v>589.67146020003781</v>
      </c>
      <c r="F49" s="2">
        <f t="shared" si="6"/>
        <v>9164.9963746307931</v>
      </c>
      <c r="G49" t="str">
        <f t="shared" si="1"/>
        <v>JA</v>
      </c>
      <c r="I49" s="2"/>
      <c r="J49">
        <f t="shared" si="5"/>
        <v>15</v>
      </c>
      <c r="L49" s="6"/>
      <c r="M49" s="6"/>
      <c r="N49" s="2"/>
      <c r="O49" s="2"/>
      <c r="P49" s="2"/>
      <c r="S49" s="6"/>
      <c r="T49" s="6"/>
      <c r="U49" s="6"/>
      <c r="V49" s="6"/>
      <c r="W49" s="6"/>
      <c r="X49" s="6"/>
      <c r="Y49" s="2"/>
    </row>
    <row r="50" spans="1:25" x14ac:dyDescent="0.3">
      <c r="A50">
        <f t="shared" si="3"/>
        <v>16</v>
      </c>
      <c r="B50" s="2">
        <f t="shared" si="2"/>
        <v>7038.8914094351994</v>
      </c>
      <c r="C50" s="4">
        <f t="shared" si="4"/>
        <v>2158.5572137675999</v>
      </c>
      <c r="D50" s="5">
        <f>$D$35*(1+$C$14)^(A50-A$35)</f>
        <v>0.27724887769477063</v>
      </c>
      <c r="E50" s="2">
        <f t="shared" si="0"/>
        <v>598.45756495701823</v>
      </c>
      <c r="F50" s="2">
        <f t="shared" si="6"/>
        <v>9946.7538670804279</v>
      </c>
      <c r="G50" t="str">
        <f t="shared" si="1"/>
        <v>JA</v>
      </c>
      <c r="I50" s="2"/>
      <c r="J50">
        <f t="shared" si="5"/>
        <v>16</v>
      </c>
      <c r="L50" s="6"/>
      <c r="M50" s="6"/>
      <c r="N50" s="2"/>
      <c r="O50" s="2"/>
      <c r="P50" s="2"/>
      <c r="S50" s="6"/>
      <c r="T50" s="6"/>
      <c r="U50" s="6"/>
      <c r="V50" s="6"/>
      <c r="W50" s="6"/>
      <c r="X50" s="6"/>
      <c r="Y50" s="2"/>
    </row>
    <row r="51" spans="1:25" x14ac:dyDescent="0.3">
      <c r="A51">
        <f t="shared" si="3"/>
        <v>17</v>
      </c>
      <c r="B51" s="2">
        <f t="shared" si="2"/>
        <v>7179.6692376239034</v>
      </c>
      <c r="C51" s="4">
        <f t="shared" si="4"/>
        <v>2147.7644276987621</v>
      </c>
      <c r="D51" s="5">
        <f>$D$35*(1+$C$14)^(A51-A$35)</f>
        <v>0.28279385524866613</v>
      </c>
      <c r="E51" s="2">
        <f t="shared" si="0"/>
        <v>607.37458267487796</v>
      </c>
      <c r="F51" s="2">
        <f t="shared" si="6"/>
        <v>10753.063527096914</v>
      </c>
      <c r="G51" t="str">
        <f t="shared" si="1"/>
        <v>JA</v>
      </c>
      <c r="I51" s="2"/>
      <c r="J51">
        <f t="shared" si="5"/>
        <v>17</v>
      </c>
      <c r="L51" s="6"/>
      <c r="M51" s="6"/>
      <c r="N51" s="2"/>
      <c r="O51" s="2"/>
      <c r="P51" s="2"/>
      <c r="S51" s="6"/>
      <c r="T51" s="6"/>
      <c r="U51" s="6"/>
      <c r="V51" s="6"/>
      <c r="W51" s="6"/>
      <c r="X51" s="6"/>
      <c r="Y51" s="2"/>
    </row>
    <row r="52" spans="1:25" x14ac:dyDescent="0.3">
      <c r="A52">
        <f t="shared" si="3"/>
        <v>18</v>
      </c>
      <c r="B52" s="2">
        <f t="shared" si="2"/>
        <v>7323.2626223763818</v>
      </c>
      <c r="C52" s="4">
        <f t="shared" si="4"/>
        <v>2137.0256055602681</v>
      </c>
      <c r="D52" s="5">
        <f>$D$35*(1+$C$14)^(A52-A$35)</f>
        <v>0.28844973235363947</v>
      </c>
      <c r="E52" s="2">
        <f t="shared" si="0"/>
        <v>616.42446395673369</v>
      </c>
      <c r="F52" s="2">
        <f t="shared" si="6"/>
        <v>11584.549261595586</v>
      </c>
      <c r="G52" t="str">
        <f t="shared" si="1"/>
        <v>JA</v>
      </c>
      <c r="I52" s="2"/>
      <c r="J52">
        <f t="shared" si="5"/>
        <v>18</v>
      </c>
      <c r="L52" s="6"/>
      <c r="M52" s="6"/>
      <c r="N52" s="2"/>
      <c r="O52" s="2"/>
      <c r="P52" s="2"/>
      <c r="S52" s="6"/>
      <c r="T52" s="6"/>
      <c r="U52" s="6"/>
      <c r="V52" s="6"/>
      <c r="W52" s="6"/>
      <c r="X52" s="6"/>
      <c r="Y52" s="2"/>
    </row>
    <row r="53" spans="1:25" x14ac:dyDescent="0.3">
      <c r="A53">
        <f t="shared" si="3"/>
        <v>19</v>
      </c>
      <c r="B53" s="2">
        <f t="shared" si="2"/>
        <v>7469.7278748239096</v>
      </c>
      <c r="C53" s="4">
        <f t="shared" si="4"/>
        <v>2126.3404775324666</v>
      </c>
      <c r="D53" s="5">
        <f>$D$35*(1+$C$14)^(A53-A$35)</f>
        <v>0.29421872700071222</v>
      </c>
      <c r="E53" s="2">
        <f t="shared" si="0"/>
        <v>625.60918846968889</v>
      </c>
      <c r="F53" s="2">
        <f t="shared" si="6"/>
        <v>12441.849435297187</v>
      </c>
      <c r="G53" t="str">
        <f t="shared" si="1"/>
        <v>JA</v>
      </c>
      <c r="I53" s="2"/>
      <c r="J53">
        <f t="shared" si="5"/>
        <v>19</v>
      </c>
      <c r="L53" s="6"/>
      <c r="M53" s="6"/>
      <c r="N53" s="2"/>
      <c r="O53" s="2"/>
      <c r="P53" s="2"/>
      <c r="S53" s="6"/>
      <c r="T53" s="6"/>
      <c r="U53" s="6"/>
      <c r="V53" s="6"/>
      <c r="W53" s="6"/>
      <c r="X53" s="6"/>
      <c r="Y53" s="2"/>
    </row>
    <row r="54" spans="1:25" x14ac:dyDescent="0.3">
      <c r="A54">
        <f t="shared" si="3"/>
        <v>20</v>
      </c>
      <c r="B54" s="2">
        <f t="shared" si="2"/>
        <v>7619.1224323203878</v>
      </c>
      <c r="C54" s="4">
        <f t="shared" si="4"/>
        <v>2115.7087751448043</v>
      </c>
      <c r="D54" s="5">
        <f>$D$35*(1+$C$14)^(A54-A$35)</f>
        <v>0.30010310154072645</v>
      </c>
      <c r="E54" s="2">
        <f t="shared" si="0"/>
        <v>634.93076537788716</v>
      </c>
      <c r="F54" s="2">
        <f t="shared" si="6"/>
        <v>13325.617189381017</v>
      </c>
      <c r="G54" t="str">
        <f t="shared" si="1"/>
        <v>JA</v>
      </c>
      <c r="H54" s="2"/>
      <c r="I54" s="2"/>
      <c r="J54">
        <f t="shared" si="5"/>
        <v>20</v>
      </c>
      <c r="L54" s="6"/>
      <c r="M54" s="6"/>
      <c r="N54" s="2"/>
      <c r="O54" s="2"/>
      <c r="P54" s="2"/>
      <c r="S54" s="6"/>
      <c r="T54" s="6"/>
      <c r="U54" s="6"/>
      <c r="V54" s="6"/>
      <c r="W54" s="6"/>
      <c r="X54" s="6"/>
      <c r="Y54" s="7"/>
    </row>
    <row r="55" spans="1:25" x14ac:dyDescent="0.3">
      <c r="A55">
        <f t="shared" si="3"/>
        <v>21</v>
      </c>
      <c r="B55" s="2">
        <f t="shared" si="2"/>
        <v>7771.504880966796</v>
      </c>
      <c r="C55" s="4">
        <f t="shared" si="4"/>
        <v>2105.1302312690805</v>
      </c>
      <c r="D55" s="5">
        <f>$D$35*(1+$C$14)^(A55-A$35)</f>
        <v>0.30610516357154099</v>
      </c>
      <c r="E55" s="2">
        <f t="shared" si="0"/>
        <v>644.39123378201782</v>
      </c>
      <c r="F55" s="2">
        <f t="shared" si="6"/>
        <v>14236.520766950656</v>
      </c>
      <c r="G55" t="str">
        <f t="shared" si="1"/>
        <v>JA</v>
      </c>
      <c r="I55" s="2"/>
      <c r="J55">
        <f t="shared" si="5"/>
        <v>21</v>
      </c>
      <c r="P55" s="2"/>
    </row>
    <row r="56" spans="1:25" x14ac:dyDescent="0.3">
      <c r="A56">
        <f t="shared" si="3"/>
        <v>22</v>
      </c>
      <c r="B56" s="2">
        <f t="shared" si="2"/>
        <v>7926.9349785861323</v>
      </c>
      <c r="C56" s="4">
        <f t="shared" si="4"/>
        <v>2094.6045801127352</v>
      </c>
      <c r="D56" s="5">
        <f>$D$35*(1+$C$14)^(A56-A$35)</f>
        <v>0.31222726684297181</v>
      </c>
      <c r="E56" s="2">
        <f t="shared" si="0"/>
        <v>653.99266316536989</v>
      </c>
      <c r="F56" s="2">
        <f t="shared" si="6"/>
        <v>15175.243845455041</v>
      </c>
      <c r="G56" t="str">
        <f t="shared" si="1"/>
        <v>JA</v>
      </c>
      <c r="I56" s="2"/>
      <c r="J56">
        <f t="shared" si="5"/>
        <v>22</v>
      </c>
      <c r="P56" s="2"/>
    </row>
    <row r="57" spans="1:25" x14ac:dyDescent="0.3">
      <c r="A57">
        <f t="shared" si="3"/>
        <v>23</v>
      </c>
      <c r="B57" s="2">
        <f t="shared" si="2"/>
        <v>8085.4736781578549</v>
      </c>
      <c r="C57" s="4">
        <f t="shared" si="4"/>
        <v>2084.1315572121716</v>
      </c>
      <c r="D57" s="5">
        <f>$D$35*(1+$C$14)^(A57-A$35)</f>
        <v>0.31847181217983123</v>
      </c>
      <c r="E57" s="2">
        <f t="shared" si="0"/>
        <v>663.73715384653394</v>
      </c>
      <c r="F57" s="2">
        <f t="shared" si="6"/>
        <v>16142.485876210676</v>
      </c>
      <c r="G57" t="str">
        <f t="shared" si="1"/>
        <v>JA</v>
      </c>
      <c r="I57" s="2"/>
      <c r="J57">
        <f t="shared" si="5"/>
        <v>23</v>
      </c>
    </row>
    <row r="58" spans="1:25" x14ac:dyDescent="0.3">
      <c r="F58" s="7">
        <f>F57-B57</f>
        <v>8057.0121980528211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pakket A financiering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Maarten Corpeleijn</cp:lastModifiedBy>
  <dcterms:created xsi:type="dcterms:W3CDTF">2011-04-15T15:36:50Z</dcterms:created>
  <dcterms:modified xsi:type="dcterms:W3CDTF">2016-01-11T08:37:26Z</dcterms:modified>
</cp:coreProperties>
</file>